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3.35.129\direzione\COORDINAMENTO\0 Trasparenza\ANTICORRUZIONE E TRASPARENZA\2024\TRASPARENZA\Art. 30_introiti MENSILE\12. Dicembre\per pubblicazione\"/>
    </mc:Choice>
  </mc:AlternateContent>
  <xr:revisionPtr revIDLastSave="0" documentId="13_ncr:1_{794E5364-CB99-49E1-B692-4103100F8541}" xr6:coauthVersionLast="47" xr6:coauthVersionMax="47" xr10:uidLastSave="{00000000-0000-0000-0000-000000000000}"/>
  <bookViews>
    <workbookView xWindow="-28908" yWindow="-108" windowWidth="29016" windowHeight="15816" activeTab="9" xr2:uid="{5AD65642-F59F-4862-B9D6-71924B15AE21}"/>
  </bookViews>
  <sheets>
    <sheet name="M1" sheetId="1" r:id="rId1"/>
    <sheet name="M2" sheetId="2" r:id="rId2"/>
    <sheet name="M3" sheetId="3" r:id="rId3"/>
    <sheet name="M4" sheetId="4" r:id="rId4"/>
    <sheet name="M5" sheetId="5" r:id="rId5"/>
    <sheet name="M6" sheetId="6" r:id="rId6"/>
    <sheet name="M7" sheetId="7" r:id="rId7"/>
    <sheet name="M8" sheetId="8" r:id="rId8"/>
    <sheet name="M9" sheetId="9" r:id="rId9"/>
    <sheet name="TOTALI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F90" i="1"/>
  <c r="F68" i="9" l="1"/>
  <c r="E68" i="9"/>
  <c r="D68" i="9"/>
  <c r="F66" i="9"/>
  <c r="E66" i="9"/>
  <c r="D66" i="9"/>
  <c r="F64" i="9"/>
  <c r="E64" i="9"/>
  <c r="D64" i="9"/>
  <c r="F62" i="9"/>
  <c r="E62" i="9"/>
  <c r="D62" i="9"/>
  <c r="F58" i="9"/>
  <c r="E58" i="9"/>
  <c r="E70" i="9" s="1"/>
  <c r="D58" i="9"/>
  <c r="F54" i="9"/>
  <c r="D54" i="9"/>
  <c r="F35" i="9"/>
  <c r="F70" i="9" s="1"/>
  <c r="D35" i="9"/>
  <c r="D70" i="9" s="1"/>
  <c r="E65" i="2"/>
  <c r="F71" i="8" l="1"/>
  <c r="E71" i="8"/>
  <c r="E136" i="7"/>
  <c r="F105" i="6"/>
  <c r="F109" i="6" s="1"/>
  <c r="E105" i="6"/>
  <c r="E109" i="6" s="1"/>
  <c r="F93" i="6"/>
  <c r="E93" i="6"/>
  <c r="E89" i="6"/>
  <c r="F86" i="6"/>
  <c r="E86" i="6"/>
  <c r="D86" i="6"/>
  <c r="F82" i="6"/>
  <c r="E82" i="6"/>
  <c r="F58" i="6"/>
  <c r="E58" i="6"/>
  <c r="F107" i="6"/>
  <c r="E107" i="6"/>
  <c r="D107" i="6"/>
  <c r="D105" i="6"/>
  <c r="D109" i="6" s="1"/>
  <c r="D93" i="6"/>
  <c r="F89" i="6"/>
  <c r="D89" i="6"/>
  <c r="D82" i="6"/>
  <c r="D58" i="6"/>
  <c r="F67" i="5" l="1"/>
  <c r="E67" i="5"/>
  <c r="E45" i="5"/>
  <c r="F65" i="5"/>
  <c r="E65" i="5"/>
  <c r="D65" i="5"/>
  <c r="F63" i="5"/>
  <c r="E63" i="5"/>
  <c r="D63" i="5"/>
  <c r="F61" i="5"/>
  <c r="E61" i="5"/>
  <c r="D61" i="5"/>
  <c r="F59" i="5"/>
  <c r="E59" i="5"/>
  <c r="D59" i="5"/>
  <c r="F53" i="5"/>
  <c r="E53" i="5"/>
  <c r="D53" i="5"/>
  <c r="F49" i="5"/>
  <c r="E49" i="5"/>
  <c r="D49" i="5"/>
  <c r="F45" i="5"/>
  <c r="E44" i="5"/>
  <c r="D44" i="5"/>
  <c r="E43" i="5"/>
  <c r="E41" i="5"/>
  <c r="D41" i="5"/>
  <c r="E40" i="5"/>
  <c r="D40" i="5"/>
  <c r="E39" i="5"/>
  <c r="D39" i="5"/>
  <c r="E38" i="5"/>
  <c r="E36" i="5"/>
  <c r="D36" i="5"/>
  <c r="E34" i="5"/>
  <c r="D34" i="5"/>
  <c r="E33" i="5"/>
  <c r="E32" i="5"/>
  <c r="D32" i="5"/>
  <c r="E31" i="5"/>
  <c r="D31" i="5"/>
  <c r="E30" i="5"/>
  <c r="D30" i="5"/>
  <c r="E29" i="5"/>
  <c r="E28" i="5"/>
  <c r="D28" i="5"/>
  <c r="E27" i="5"/>
  <c r="E26" i="5"/>
  <c r="D26" i="5"/>
  <c r="E25" i="5"/>
  <c r="E23" i="5"/>
  <c r="D23" i="5"/>
  <c r="E21" i="5"/>
  <c r="E20" i="5"/>
  <c r="D20" i="5"/>
  <c r="E18" i="5"/>
  <c r="D18" i="5"/>
  <c r="E16" i="5"/>
  <c r="E14" i="5"/>
  <c r="D14" i="5"/>
  <c r="E13" i="5"/>
  <c r="E12" i="5"/>
  <c r="D12" i="5"/>
  <c r="E11" i="5"/>
  <c r="D11" i="5"/>
  <c r="E10" i="5"/>
  <c r="D10" i="5"/>
  <c r="E9" i="5"/>
  <c r="E8" i="5"/>
  <c r="D8" i="5"/>
  <c r="D45" i="5" s="1"/>
  <c r="D67" i="5" s="1"/>
  <c r="F83" i="4" l="1"/>
  <c r="E83" i="4"/>
  <c r="D83" i="4"/>
  <c r="F81" i="4"/>
  <c r="E81" i="4"/>
  <c r="D81" i="4"/>
  <c r="F77" i="4"/>
  <c r="E77" i="4"/>
  <c r="D77" i="4"/>
  <c r="F73" i="4"/>
  <c r="E73" i="4"/>
  <c r="D73" i="4"/>
  <c r="E69" i="4"/>
  <c r="F63" i="4"/>
  <c r="E63" i="4"/>
  <c r="F79" i="4"/>
  <c r="E79" i="4"/>
  <c r="D79" i="4"/>
  <c r="F75" i="4"/>
  <c r="E75" i="4"/>
  <c r="D75" i="4"/>
  <c r="F69" i="4"/>
  <c r="D69" i="4"/>
  <c r="D63" i="4"/>
  <c r="F71" i="3" l="1"/>
  <c r="E71" i="3"/>
  <c r="D71" i="3"/>
  <c r="F69" i="3"/>
  <c r="E69" i="3"/>
  <c r="F67" i="3"/>
  <c r="E67" i="3"/>
  <c r="F65" i="3"/>
  <c r="E65" i="3"/>
  <c r="F63" i="3"/>
  <c r="E63" i="3"/>
  <c r="F61" i="3"/>
  <c r="E61" i="3"/>
  <c r="F57" i="3"/>
  <c r="E57" i="3"/>
  <c r="F52" i="3"/>
  <c r="E52" i="3"/>
  <c r="D69" i="3"/>
  <c r="D67" i="3"/>
  <c r="D65" i="3"/>
  <c r="D63" i="3"/>
  <c r="D61" i="3"/>
  <c r="D57" i="3"/>
  <c r="D52" i="3"/>
  <c r="E63" i="2" l="1"/>
  <c r="F59" i="2"/>
  <c r="F77" i="2" l="1"/>
  <c r="F75" i="2"/>
  <c r="F73" i="2"/>
  <c r="F67" i="2"/>
  <c r="F65" i="2"/>
  <c r="F63" i="2"/>
  <c r="E59" i="2"/>
  <c r="E52" i="2"/>
  <c r="E75" i="2"/>
  <c r="E77" i="2" s="1"/>
  <c r="D75" i="2"/>
  <c r="D73" i="2"/>
  <c r="E72" i="2"/>
  <c r="E73" i="2" s="1"/>
  <c r="E67" i="2"/>
  <c r="D67" i="2"/>
  <c r="D65" i="2"/>
  <c r="D63" i="2"/>
  <c r="D59" i="2"/>
  <c r="F52" i="2"/>
  <c r="D52" i="2"/>
  <c r="E90" i="1"/>
  <c r="G88" i="1"/>
  <c r="F88" i="1"/>
  <c r="E88" i="1"/>
  <c r="G86" i="1"/>
  <c r="F86" i="1"/>
  <c r="E86" i="1"/>
  <c r="F76" i="1"/>
  <c r="G51" i="1"/>
  <c r="F51" i="1"/>
  <c r="G84" i="1"/>
  <c r="F84" i="1"/>
  <c r="E84" i="1"/>
  <c r="G82" i="1"/>
  <c r="F82" i="1"/>
  <c r="E82" i="1"/>
  <c r="G76" i="1"/>
  <c r="E76" i="1"/>
  <c r="E51" i="1"/>
  <c r="D77" i="2" l="1"/>
  <c r="D71" i="8"/>
  <c r="D67" i="8"/>
  <c r="E69" i="8"/>
  <c r="D69" i="8"/>
  <c r="F69" i="8"/>
  <c r="F67" i="8"/>
  <c r="E67" i="8"/>
  <c r="F65" i="8"/>
  <c r="E65" i="8"/>
  <c r="D65" i="8"/>
  <c r="E54" i="8"/>
  <c r="E47" i="8"/>
  <c r="F63" i="8"/>
  <c r="E63" i="8"/>
  <c r="D63" i="8"/>
  <c r="F60" i="8"/>
  <c r="E60" i="8"/>
  <c r="D60" i="8"/>
  <c r="F54" i="8"/>
  <c r="D54" i="8"/>
  <c r="F47" i="8"/>
  <c r="D47" i="8"/>
  <c r="F136" i="7"/>
  <c r="E115" i="7"/>
  <c r="E110" i="7"/>
  <c r="F134" i="7"/>
  <c r="E134" i="7"/>
  <c r="D134" i="7"/>
  <c r="F132" i="7"/>
  <c r="E132" i="7"/>
  <c r="D132" i="7"/>
  <c r="F129" i="7"/>
  <c r="E129" i="7"/>
  <c r="D129" i="7"/>
  <c r="F125" i="7"/>
  <c r="E125" i="7"/>
  <c r="D124" i="7"/>
  <c r="D123" i="7"/>
  <c r="D122" i="7"/>
  <c r="D121" i="7"/>
  <c r="D120" i="7"/>
  <c r="D125" i="7" s="1"/>
  <c r="F119" i="7"/>
  <c r="E119" i="7"/>
  <c r="D119" i="7"/>
  <c r="F115" i="7"/>
  <c r="D115" i="7"/>
  <c r="F110" i="7"/>
  <c r="D107" i="7"/>
  <c r="D106" i="7"/>
  <c r="D100" i="7"/>
  <c r="D98" i="7"/>
  <c r="D97" i="7"/>
  <c r="D95" i="7"/>
  <c r="D93" i="7"/>
  <c r="D92" i="7"/>
  <c r="D90" i="7"/>
  <c r="D89" i="7"/>
  <c r="D87" i="7"/>
  <c r="D86" i="7"/>
  <c r="D85" i="7"/>
  <c r="D80" i="7"/>
  <c r="D79" i="7"/>
  <c r="D77" i="7"/>
  <c r="D74" i="7"/>
  <c r="D73" i="7"/>
  <c r="D72" i="7"/>
  <c r="D71" i="7"/>
  <c r="D70" i="7"/>
  <c r="D68" i="7"/>
  <c r="D64" i="7"/>
  <c r="D63" i="7"/>
  <c r="D62" i="7"/>
  <c r="D61" i="7"/>
  <c r="D58" i="7"/>
  <c r="D57" i="7"/>
  <c r="D56" i="7"/>
  <c r="D55" i="7"/>
  <c r="D54" i="7"/>
  <c r="D51" i="7"/>
  <c r="D49" i="7"/>
  <c r="D43" i="7"/>
  <c r="D40" i="7"/>
  <c r="D36" i="7"/>
  <c r="D35" i="7"/>
  <c r="D34" i="7"/>
  <c r="D33" i="7"/>
  <c r="D31" i="7"/>
  <c r="D28" i="7"/>
  <c r="D27" i="7"/>
  <c r="D26" i="7"/>
  <c r="D25" i="7"/>
  <c r="D24" i="7"/>
  <c r="D22" i="7"/>
  <c r="D19" i="7"/>
  <c r="D16" i="7"/>
  <c r="D13" i="7"/>
  <c r="D10" i="7"/>
  <c r="D8" i="7"/>
  <c r="D110" i="7" s="1"/>
  <c r="D136" i="7" s="1"/>
</calcChain>
</file>

<file path=xl/sharedStrings.xml><?xml version="1.0" encoding="utf-8"?>
<sst xmlns="http://schemas.openxmlformats.org/spreadsheetml/2006/main" count="1038" uniqueCount="604">
  <si>
    <r>
      <t xml:space="preserve">totale canoni percepiti da </t>
    </r>
    <r>
      <rPr>
        <b/>
        <i/>
        <sz val="12"/>
        <rFont val="Calibri"/>
        <family val="2"/>
        <charset val="1"/>
      </rPr>
      <t>gennaio 2024</t>
    </r>
  </si>
  <si>
    <t>totale tariffe orarie e 
canoni annui pattuiti</t>
  </si>
  <si>
    <t>numero totale contratti 
gestiti</t>
  </si>
  <si>
    <r>
      <t xml:space="preserve">TOTALE GENERALE 9 MUNICIPI
</t>
    </r>
    <r>
      <rPr>
        <sz val="14"/>
        <color theme="1"/>
        <rFont val="Aptos Narrow"/>
        <family val="2"/>
        <charset val="1"/>
        <scheme val="minor"/>
      </rPr>
      <t>importo comprensivo di I.V.A. ai sensi di legge</t>
    </r>
  </si>
  <si>
    <t>Comune di Milano</t>
  </si>
  <si>
    <t>DIREZIONE SERVIZI CIVICI E MUNICIPI</t>
  </si>
  <si>
    <t xml:space="preserve">INTROITI PER CONCESSIONI DI LOCALI SCOLASTICI, SPAZI MULTIUSO, IMMOBILI E AREE - PERIODO: GENNAIO - DICEMBRE 2024 </t>
  </si>
  <si>
    <t xml:space="preserve">MUNICIPIO 7 </t>
  </si>
  <si>
    <t xml:space="preserve"> LOCALI SCOLASTICI E SPAZI MULTIUSO</t>
  </si>
  <si>
    <t>tipologia di procedimento</t>
  </si>
  <si>
    <t>tipologia
immobile/ area
indirizzo</t>
  </si>
  <si>
    <t>totale canoni percepiti a partire da gennaio 2024</t>
  </si>
  <si>
    <t>tariffa oraria pattuita</t>
  </si>
  <si>
    <t>Note 
(ragioni per cui il canone percepito è superiore al canone annuo pattuito ed aventuali altre annotazioni)</t>
  </si>
  <si>
    <t>concessioni in uso di locali scolastici (per singolo plesso)</t>
  </si>
  <si>
    <t>Via Lamennais 20 - palestra</t>
  </si>
  <si>
    <t>Via Lamennais 20 - aule</t>
  </si>
  <si>
    <t>Nessuna concessione</t>
  </si>
  <si>
    <t>Via Lamennais 20 - cortile</t>
  </si>
  <si>
    <t>Via Dolci 5 - palestra</t>
  </si>
  <si>
    <t>Via Constant 19 - palestra</t>
  </si>
  <si>
    <t>Via Airaghi 42 - palestra</t>
  </si>
  <si>
    <t>Via San Giusto 65 - palestra</t>
  </si>
  <si>
    <t>Via San Giusto 65 - aula tatami</t>
  </si>
  <si>
    <t>Via San Giusto 65 - aule</t>
  </si>
  <si>
    <t>Via Rasori 19 - palestra</t>
  </si>
  <si>
    <t>Via Rasori 19 - aule</t>
  </si>
  <si>
    <t>Via Rasori 19 - cortile</t>
  </si>
  <si>
    <t>Via Rasori 19 - palestrina</t>
  </si>
  <si>
    <t>Via Mauri 10 - cortile</t>
  </si>
  <si>
    <t>Via Mauri 10 - palestra</t>
  </si>
  <si>
    <t>Via Mauri 10 - aule</t>
  </si>
  <si>
    <t>Via Colonna 42 - aule</t>
  </si>
  <si>
    <t>Via Colonna 42 - palestra</t>
  </si>
  <si>
    <t>Via Colonna 42 - palestrina</t>
  </si>
  <si>
    <t>Piazza Sicilia 2 - aula/teatro</t>
  </si>
  <si>
    <t>Piazza Sicilia 2 - palestra Seprio</t>
  </si>
  <si>
    <t>Piazza Sicilia 2 - cortile</t>
  </si>
  <si>
    <t>Piazza Sicilia 2 - palestra Sacco/Sard</t>
  </si>
  <si>
    <t>Via Val D'Intelvi 11 - palestra</t>
  </si>
  <si>
    <t>Via Val D'Intelvi 11 - aula</t>
  </si>
  <si>
    <t>Via Val D'Intelvi 11 - palestrina/teatro</t>
  </si>
  <si>
    <t>Via Milesi 4 - palestra</t>
  </si>
  <si>
    <t>Via Forze Armate 279 - palestra</t>
  </si>
  <si>
    <t>Via Forze Armate 279 - aule</t>
  </si>
  <si>
    <t>Via Valdagno 8 - aule</t>
  </si>
  <si>
    <t>Via Valdagno 8 - palestra</t>
  </si>
  <si>
    <t>Via Viterbo 31 - palestra</t>
  </si>
  <si>
    <t>Via Don Gnocchi 25 - palestra</t>
  </si>
  <si>
    <t>Via Don Gnocchi 25 - aule</t>
  </si>
  <si>
    <t>Piazza Axum 5 - palestra</t>
  </si>
  <si>
    <t>Piazza Axum 5 - aule</t>
  </si>
  <si>
    <t>Via Paravia 83 - aula</t>
  </si>
  <si>
    <t>Via Paravia 83 - giardino esterno</t>
  </si>
  <si>
    <t>Via Delle Betulle 17 - palestra</t>
  </si>
  <si>
    <t>Via Dei Salici 2 - palestra</t>
  </si>
  <si>
    <t>Via Loria 37 - aula</t>
  </si>
  <si>
    <t>Via Loria 37 - palestra grande</t>
  </si>
  <si>
    <t>Via Loria 37 - palestra piccola</t>
  </si>
  <si>
    <t>Via Forze Armate 65 - giardino</t>
  </si>
  <si>
    <t>Via Forze Armate 65 - aula</t>
  </si>
  <si>
    <t>Via Forze Armate 65 - palestra</t>
  </si>
  <si>
    <t>Via Martinetti 25 - palestra grande</t>
  </si>
  <si>
    <t>Via Martinetti 25 - palestra piccola</t>
  </si>
  <si>
    <t>Via Martinetti 25 - aula</t>
  </si>
  <si>
    <t>Via Crimea 22 - palestra</t>
  </si>
  <si>
    <t>Via Crimea 22 - aule</t>
  </si>
  <si>
    <t>Via Muggiano 14 - palestra</t>
  </si>
  <si>
    <t>Via Montebaldo - palestra</t>
  </si>
  <si>
    <t>Via Montebaldo - aule</t>
  </si>
  <si>
    <t>totale</t>
  </si>
  <si>
    <t>concessione in uso spazi multiuso</t>
  </si>
  <si>
    <t>Sala degli Olivetani 
Via A. Da Baggio 55</t>
  </si>
  <si>
    <t>Canone azzerato</t>
  </si>
  <si>
    <t>Auditorium Olmi
Via Delle Betulle 39</t>
  </si>
  <si>
    <t>Palestra Manaresi
Via Manaresi 14</t>
  </si>
  <si>
    <t>Cam Forze Armate 318</t>
  </si>
  <si>
    <t>IMMOBILI E AREE</t>
  </si>
  <si>
    <t>tipologia
immobile/ area 
indirizzo</t>
  </si>
  <si>
    <t>canone annuo pattuito</t>
  </si>
  <si>
    <t>Note
(ragioni per cui il canone percepito è superiore al canone annuo pattuito ed aventuali altre annotazioni)</t>
  </si>
  <si>
    <t>concessione d'uso immobili per progetti di sviluppo di attività culturali ed economiche</t>
  </si>
  <si>
    <t>concessione in uso particelle ortive</t>
  </si>
  <si>
    <t>Parco delle Cave</t>
  </si>
  <si>
    <t>effettuati conguagli su canoni anni precedenti - adeguamento ISTAT</t>
  </si>
  <si>
    <t>Via Mosca</t>
  </si>
  <si>
    <t>via Don Gervasini</t>
  </si>
  <si>
    <t>Parco della Cava di Muggiano</t>
  </si>
  <si>
    <t>via Viterbo-Bentivoglio</t>
  </si>
  <si>
    <t>concessione impianti sportivi</t>
  </si>
  <si>
    <t>via Castrovillari 14</t>
  </si>
  <si>
    <t>via Molinetto 64</t>
  </si>
  <si>
    <t>via Viterbo 4</t>
  </si>
  <si>
    <t>concessioni in uso di spazi diversi dai precedenti</t>
  </si>
  <si>
    <t>Cascina Linterno
via F.lli Zoia 194</t>
  </si>
  <si>
    <t>locali c/o CAM Olmi
via delle Betulle 39</t>
  </si>
  <si>
    <t>concessioni in comodato d'uso</t>
  </si>
  <si>
    <r>
      <t xml:space="preserve">TOTALE GENERALE
</t>
    </r>
    <r>
      <rPr>
        <sz val="11"/>
        <color theme="1"/>
        <rFont val="Calibri"/>
        <family val="2"/>
      </rPr>
      <t>importo comprensivo di I.V.A. ai sensi di legge</t>
    </r>
  </si>
  <si>
    <t>*Dott.ssa Scilla Amore</t>
  </si>
  <si>
    <t>*Il documento è firmato digitalmente ai sensi del D.Lgs. 82/2005 s.m.i. e norme collegate e sostituisce il documento cartaceo e la firma autografa.</t>
  </si>
  <si>
    <t>Originale firmato digitalemnete è conservato in atti della Direzione Servizi Civici e Municipi, Area Municipi</t>
  </si>
  <si>
    <t>Il Responsabile dell'Unità Coordinamento</t>
  </si>
  <si>
    <t xml:space="preserve"> Municipio 7</t>
  </si>
  <si>
    <t>DIREZIONE SERVIZI CIVICI E  MUNICIPI</t>
  </si>
  <si>
    <t>INTROITI PER CONCESSIONI DI LOCALI SCOLASTICI, SPAZI MULTIUSO, IMMOBILI E AREE - PERIODO: GENNAIO - DICEMBRE 2024</t>
  </si>
  <si>
    <t xml:space="preserve"> MUNICIPIO 8</t>
  </si>
  <si>
    <t>PISCINA Scuola primaria via C. da Castello, 10</t>
  </si>
  <si>
    <t>PALESTRA Scuola primaria via Cilea, 12</t>
  </si>
  <si>
    <t>PALESTRA Via Cittadini, 9</t>
  </si>
  <si>
    <t>AULA via Console Marcello, 9</t>
  </si>
  <si>
    <t>PALESTRA Scuola primaria via Delle Ande, 4</t>
  </si>
  <si>
    <t>PALESTRA Scuola primaria via Gattamelata, 35</t>
  </si>
  <si>
    <t>AULE Scuola primaria via Gattamelata, 35</t>
  </si>
  <si>
    <t>PALESTRA Scuola primaria via Graf, 70</t>
  </si>
  <si>
    <t>PALESTRINA Scuola primaria via Graf, 70</t>
  </si>
  <si>
    <t>ATRIO Scuola primaria via Graf, 70</t>
  </si>
  <si>
    <t>PALESTRA Scuola primaria via Mac Mahon, 100</t>
  </si>
  <si>
    <t>AULE Scuola primaria via Mac Mahon, 100</t>
  </si>
  <si>
    <t>AULE Scuola primaria via Mantegna, 10</t>
  </si>
  <si>
    <t>AULE Musica Scuola primaria via Mantegna, 10</t>
  </si>
  <si>
    <t>PALESTRA Scuola primaria via Mantegna, 10</t>
  </si>
  <si>
    <t>PALESTRA Scuola primaria via Moscati, 1</t>
  </si>
  <si>
    <t>AULA Scuola primaria via Moscati, 1</t>
  </si>
  <si>
    <t>PALESTRA via Pareto, 26</t>
  </si>
  <si>
    <t>AULA via Pareto, 26</t>
  </si>
  <si>
    <t>PALESTRA S.M.Nascente</t>
  </si>
  <si>
    <t>AULA S.M.Nascente</t>
  </si>
  <si>
    <t>PALESTRA via Val Lagarina, 44</t>
  </si>
  <si>
    <t>PALESTRA Scuola primaria via Visconti, 16</t>
  </si>
  <si>
    <t>PALESTRA Scuola primaria via Viscontini, 7</t>
  </si>
  <si>
    <t>PALESTRA Scuola Sec. di 1° grado via Borsa, 26</t>
  </si>
  <si>
    <t>PALESTRINA Scuola Sec. di 1° grado via C. da Castello, 9</t>
  </si>
  <si>
    <t>PALESTRA Scuola Sec. di 1° grado via C. da Castello, 9</t>
  </si>
  <si>
    <t>AULA Scuola Sec. di 1° grado via C. da Castello, 9</t>
  </si>
  <si>
    <t>SPAZIO TEATRO Scuola Sec. di 1° grado via C. da Castello, 9</t>
  </si>
  <si>
    <t>Scuola Sec. di 1° grado via Graf, 74</t>
  </si>
  <si>
    <t>Scuola Sec. di 1° grado via Linneo, 2</t>
  </si>
  <si>
    <t>Scuola Sec. di 1° grado via Ojetti, 13</t>
  </si>
  <si>
    <t>PALESTRA Scuola Sec. di 1° grado via P. Uccello, 1/A</t>
  </si>
  <si>
    <t>PALESTRA Scuola Sec. di 1° grado via Quarenghi, 14</t>
  </si>
  <si>
    <t>PALESTRA Scuola Primaria via Orsini, 25</t>
  </si>
  <si>
    <t>PALESTRA Scuola Primaria via Lovere, 4</t>
  </si>
  <si>
    <t>AULA ARTISTICA Scuola Sec. di 1° grado via Quarenghi, 14</t>
  </si>
  <si>
    <t>PALESTRA Scuola de Rossi, 2</t>
  </si>
  <si>
    <t>Auditorium via Quarenghi, 21</t>
  </si>
  <si>
    <t>l'importo si riferisce fino a 4 ore - € 134,00 oltre le 4 ore</t>
  </si>
  <si>
    <t>Atrio sala consiliare via Quarenghi, 21</t>
  </si>
  <si>
    <t>l'importo si riferisce fino a 4 ore - ogni ora in più € 3,70</t>
  </si>
  <si>
    <t>CAM Lessona via Lessona, 20</t>
  </si>
  <si>
    <t>l'importo si riferisce fino a 4 ore - ogni ora in più € 1,20</t>
  </si>
  <si>
    <t>CAM Lampugnano via Lampugnano, 145</t>
  </si>
  <si>
    <t>l'importo si riferisce fino a 4 ore - ogni ora in più € 5,00</t>
  </si>
  <si>
    <t>CAM Pecetta via della Pecetta, 29</t>
  </si>
  <si>
    <t xml:space="preserve">l'importo si riferisce fino a 4 ore - ogni ora in più € 1,20
</t>
  </si>
  <si>
    <t>CAM Jacopino via J. Da Tradate, 9</t>
  </si>
  <si>
    <t>Fondazione Perini - via Aldini 72</t>
  </si>
  <si>
    <t>CGIL - Pagoda piazza Gramsci</t>
  </si>
  <si>
    <t>Fondazione Terre des Hommes Italia Onlus - via Appennini 50</t>
  </si>
  <si>
    <t>via Aldini</t>
  </si>
  <si>
    <t>Via Lampugnano</t>
  </si>
  <si>
    <r>
      <rPr>
        <b/>
        <sz val="12"/>
        <color theme="1"/>
        <rFont val="Aptos Narrow"/>
        <family val="2"/>
        <scheme val="minor"/>
      </rPr>
      <t>TOTALE GENERALE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>importo comprensivo di I.V.A. ai sensi di legge</t>
    </r>
  </si>
  <si>
    <t>La Responsabile Unità Coordinamento</t>
  </si>
  <si>
    <t>Municipio 8</t>
  </si>
  <si>
    <t>Originale sottoscritto conservato presso la Direzione Servizi Civici e Municipi - Area Municipi</t>
  </si>
  <si>
    <t>gratuita</t>
  </si>
  <si>
    <t xml:space="preserve">MUNICIPIO 1 </t>
  </si>
  <si>
    <t>Istituto Comprensivo Pascoli 
Via Ruffini, 4/6 - aula</t>
  </si>
  <si>
    <t>Istituto Comprensivo Pascoli 
Via Ruffini, 4/6 - aula 70%</t>
  </si>
  <si>
    <t>Istituto Comprensivo Pascoli 
Via Ruffini, 4/6 - palestra 195 mq 70%</t>
  </si>
  <si>
    <t>Istituto Comprensivo Pascoli 
Via Ruffini, 4/6 - palestra 200 mq</t>
  </si>
  <si>
    <t>Istituto Comprensivo Pascoli 
Via Ruffini, 4/6 - palestra 200 mq 70%</t>
  </si>
  <si>
    <t>Istituto Comprensivo Diaz 
Via Crocefisso - aula</t>
  </si>
  <si>
    <t>Istituto Comprensivo Diaz 
Via Crocefisso - aula 70%</t>
  </si>
  <si>
    <t>Istituto Comprensivo Diaz 
Via Crocefisso - palestra</t>
  </si>
  <si>
    <t>Istituto Comprensivo Diaz 
Via Crocefisso - palestra 70%</t>
  </si>
  <si>
    <t>Istituto Comprensivo Diaz 
Via Sant'Orsola, 15 - aula</t>
  </si>
  <si>
    <t>Istituto Comprensivo Diaz 
Via Sant'Orsola, 15 - aula 70%</t>
  </si>
  <si>
    <t>Istituto Comprensivo Diaz 
Via Sant'Orsola, 15 - palestra mq 185</t>
  </si>
  <si>
    <t>Istituto Comprensivo Diaz 
Via Sant'Orsola, 15 - palestra mq 185 70%</t>
  </si>
  <si>
    <t>Istituto Comprensivo Giusti-Assisi 
Via Giusti, 15 - aula</t>
  </si>
  <si>
    <t>Istituto Comprensivo Giusti-Assisi 
Via Giusti, 15 - aula 70%</t>
  </si>
  <si>
    <t xml:space="preserve">Istituto Comprensivo Giusti-Assisi 
Via Giusti, 15/A- palestra </t>
  </si>
  <si>
    <t>Istituto Comprensivo Giusti-Assisi 
Via Giusti, 15/A- palestra 70%</t>
  </si>
  <si>
    <t xml:space="preserve">Istituto Comprensivo Giusti-Assisi 
Via Giusti, 15/A- aula </t>
  </si>
  <si>
    <t>Istituto Comprensivo Giusti-Assisi 
Via Giusti, 15/A- aula 70%</t>
  </si>
  <si>
    <t>Istituto Comprensivo Giusti-Assisi 
Via Palermo, 7/9 - aula</t>
  </si>
  <si>
    <t>Istituto Comprensivo Giusti-Assisi 
Via Palermo, 7/9 - aula 70%</t>
  </si>
  <si>
    <t>Istituto Comprensivo Giusti-Assisi 
Via Palermo, 7/9 - palestrina 70%</t>
  </si>
  <si>
    <t>Istituto Comprensivo Giusti-Assisi 
Via Palermo, 7/9 - palestra mq 232 70%</t>
  </si>
  <si>
    <t>Istituto Comprensivo Cavalieri 
Via Ariberto, 14 - aula</t>
  </si>
  <si>
    <t>Istituto Comprensivo Cavalieri 
Via Ariberto, 14 - aula 70%</t>
  </si>
  <si>
    <t>Istituto Comprensivo Cavalieri 
Via Ariberto, 14 - palestra 70%</t>
  </si>
  <si>
    <t>Istituto Comprensivo Milano-Spiga
Bastioni di Porta Nuova, 4 - aula</t>
  </si>
  <si>
    <t>Istituto Comprensivo Milano-Spiga
Bastioni di Porta Nuova, 4 - aula 70%</t>
  </si>
  <si>
    <t>Istituto Comprensivo Milano-Spiga
Bastioni di Porta Nuova, 4 - palestra 275 mq</t>
  </si>
  <si>
    <t>Istituto Comprensivo Milano-Spiga
Bastioni di Porta Nuova, 4 - palestra 275 mq 70%</t>
  </si>
  <si>
    <t>Istituto Comprensivo Commenda 
Via della Commenda, 22/a - aula</t>
  </si>
  <si>
    <t>Istituto Comprensivo Commenda 
Via della Commenda, 22/a - aula 70%</t>
  </si>
  <si>
    <t>Istituto Comprensivo Commenda 
Via della Commenda, 22/a - palestra 70%</t>
  </si>
  <si>
    <t xml:space="preserve">Istituto Comprensivo Commenda 
Corso di Porta Romana, 112 - aula </t>
  </si>
  <si>
    <t>Istituto Comprensivo Commenda 
Corso di Porta Romana, 112 - aula 70%</t>
  </si>
  <si>
    <t xml:space="preserve">Istituto Comprensivo Commenda 
Corso di Porta Romana, 112 - palestra </t>
  </si>
  <si>
    <t>Istituto Comprensivo Commenda 
Corso di Porta Romana, 112 - palestra 70%</t>
  </si>
  <si>
    <t>Istituto Comprensivo Commenda 
Via Quadronno, 32 - aula</t>
  </si>
  <si>
    <t>Istituto Comprensivo Commenda 
Via Quadronno, 32 - aula 70%</t>
  </si>
  <si>
    <t>Istituto Comprensivo Commenda 
Via Quadronno, 32 - palestra 202 mq. 70%</t>
  </si>
  <si>
    <t xml:space="preserve">Istituto Comprensivo Cuoco - Sassi                                                                                                                                                     Via Corridoni, 34/36 - palestra 169 mq. </t>
  </si>
  <si>
    <t>C.A.M. GABELLE
Via San Marco, 4</t>
  </si>
  <si>
    <t>Salone Atrio</t>
  </si>
  <si>
    <t>tariffa minima fino a 4 ore + € 0,99 per ogni ora in più + costo pulizie orarie € 6,70</t>
  </si>
  <si>
    <t>tariffa massima fino a 4 ore + € 3,70 per ogni ora in più + costo pulizie orarie € 6,70</t>
  </si>
  <si>
    <t>Sala Pianoforte</t>
  </si>
  <si>
    <t>tariffa minima fino a 4 ore + € 0,87 per ogni ora in più + costo pulizie orarie € 3,40</t>
  </si>
  <si>
    <t>tariffa massima fino a 4 ore + € 2,50 per ogni ora in più + costo pulizie orarie € 3,40</t>
  </si>
  <si>
    <t>Giocoteca</t>
  </si>
  <si>
    <t>Palestra</t>
  </si>
  <si>
    <t>C.A.M. SCALDASOLE
Via Scaldadole 3/A</t>
  </si>
  <si>
    <t>Salone</t>
  </si>
  <si>
    <t>Saletta</t>
  </si>
  <si>
    <t>C.A.M. ROMANA/
VIGENTINA
Corso di Porta Vigentina 15/A</t>
  </si>
  <si>
    <t>Sala A</t>
  </si>
  <si>
    <t>Sala B</t>
  </si>
  <si>
    <t>tariffa minima fino a 4 ore + € 1,20 per ogni ora in più + costo pulizie orarie € 10,00</t>
  </si>
  <si>
    <t>tariffa massima fino a 4 ore + € 5,00 per ogni ora in più + costo pulizie orarie € 10,00</t>
  </si>
  <si>
    <t>C.A.M. GARIBALDI
Corso Garibaldi, 27</t>
  </si>
  <si>
    <t>Ludoteca</t>
  </si>
  <si>
    <t>Salone Piano Terra</t>
  </si>
  <si>
    <t>Salone 2° piano</t>
  </si>
  <si>
    <t xml:space="preserve"> ATS Casa degli Artisti - Via T. da Cazzaniga/ C.so Garibaldi</t>
  </si>
  <si>
    <t>Effettuata rivalutazione annuale ISTAT sul canone annuo pattuito</t>
  </si>
  <si>
    <t>Yoga Sangha - C.so Porta Romana 116/B</t>
  </si>
  <si>
    <t>Cascina Nascosta - Viale Alemagna</t>
  </si>
  <si>
    <t>Mediolanum Tennis Squash Via Vincenzo Monti, 57 A/8</t>
  </si>
  <si>
    <t>Municipio 1</t>
  </si>
  <si>
    <t>Dr.ssa Vincenza Ciraolo</t>
  </si>
  <si>
    <t>*Il documento è firmato digitalmente ai sensi del D. Lgs. 82/2005 s.m.i. e norme collegate e sostituisce il documento cartaceo e la firma autografa.</t>
  </si>
  <si>
    <t>nessuna concessione</t>
  </si>
  <si>
    <t>Per la Responsabile Unità Coordinamento</t>
  </si>
  <si>
    <t>Milano, 7 gennaio 2025</t>
  </si>
  <si>
    <t>INTROITI PER CONCESSIONI DI LOCALI SCOLASTICI, SPAZI MULTIUSO, IMMOBILI E AREE - PERIODO: GENNAIO – DICEMBRE 2024</t>
  </si>
  <si>
    <t>MUNICIPIO 2</t>
  </si>
  <si>
    <t>PALESTRA GRANDE VIA PONTANO, 43 – C.P.I.A. 5</t>
  </si>
  <si>
    <t>PALESTRA VIA GALVANI, 7 – I.C. GALVANI</t>
  </si>
  <si>
    <t>PALESTRA VIA FARA, 32 – I.C. GALVANI</t>
  </si>
  <si>
    <t>PALESTRA SOLARIUM VIA GIACOSA, 46 – I.C. CAPPELLI</t>
  </si>
  <si>
    <t>PADIGLIONE GRIOLI VIA GIACOSA, 46 – I.C. CAPPELLI</t>
  </si>
  <si>
    <t>PADIGLIONE BONGIOVANNI VIA GIACOSA, 46 – I.C. CAPPELLI</t>
  </si>
  <si>
    <t>PADIGLIONE TOMMASEO VIA GIACOSA, 46 – I.C. CAPPELLI</t>
  </si>
  <si>
    <t>PADIGLIONE GABELLI VIA GIACOSA, 46 – I.C. CAPPELLI</t>
  </si>
  <si>
    <t>PADIGLIONE ZADRA VIA GIACOSA, 46 – I.C. CAPPELLI</t>
  </si>
  <si>
    <t>AULA VIA GIACOSA, 46 – I.C. CAPPELLI</t>
  </si>
  <si>
    <t>PALESTRA VIA RUSSO, 23 – I.C. CAPPELLI</t>
  </si>
  <si>
    <t>AULA VIA RUSSO, 23 – I.C. CAPPELLI</t>
  </si>
  <si>
    <t>PALESTRA VIALE ZARA, 96 – I.C. ARBE-ZARA</t>
  </si>
  <si>
    <t>AULA VIALE ZARA, 96 – I.C. ARBE-ZARA</t>
  </si>
  <si>
    <t>CORTILE VIALE ZARA, 96 – I.C. ARBE-ZARA</t>
  </si>
  <si>
    <t>PALESTRA VIA CAGLIERO, 20 – I.C. FRANCESCHI</t>
  </si>
  <si>
    <t>AUDITORIUM VIA MUZIO, 5 – I.C. FRANCESCHI</t>
  </si>
  <si>
    <t>PALESTRA A VIA MUZIO, 5 – I.C. FRANCESCHI</t>
  </si>
  <si>
    <t>PALESTRA B VIA MUZIO, 5 – I.C. FRANCESCHI</t>
  </si>
  <si>
    <t>CORTILE VIA MUZIO, 5 – I.C. FRANCESCHI</t>
  </si>
  <si>
    <t>PALESTRA VIA FRIGIA, 4 – I.C. CALVINO</t>
  </si>
  <si>
    <t>PALESTRA VIA MATTEI, 12 – I.C. CALVINO</t>
  </si>
  <si>
    <t>ATRIO VIA MATTEI, 12 – I.C. CALVINO</t>
  </si>
  <si>
    <t>AULA TEATRO VIA SANT’UGUZZONE, 10 – I.C. CALVINO</t>
  </si>
  <si>
    <t>PALESTRA VIA SANT’UGUZZONE, 10 – I.C. CALVINO</t>
  </si>
  <si>
    <t>PALESTRA VIA ADRIANO, 60 – I.C. PERASSO</t>
  </si>
  <si>
    <t>PALESTRA VIA BOTTEGO, 4 – I.C. PERASSO</t>
  </si>
  <si>
    <t>AULA VIA BOTTEGO, 4 – I.C. PERASSO</t>
  </si>
  <si>
    <t>PALESTRA VIA SAN MAMETE, 11 – I.C. PERASSO</t>
  </si>
  <si>
    <t>PALESTRINA VIA SAN MAMETE, 11 – I.C. PERASSO</t>
  </si>
  <si>
    <t>ATRIO VIA SAN MAMETE, 11 – I.C. PERASSO</t>
  </si>
  <si>
    <t>PALESTRA VIA BOTTELLI, 1 – I.C. LOCATELLI-QUASIMODO</t>
  </si>
  <si>
    <t>PALESTRA VIA DELLA GIUSTIZIA, 6 – I.C. LOCATELLI-QUASIMODO</t>
  </si>
  <si>
    <t>PALESTRA VIA CESALPINO, 38 – I.C. PAOLO E LARISSA PINI</t>
  </si>
  <si>
    <t>PALESTRA VIA CESALPINO, 40 – I.C. PAOLO E LARISSA PINI</t>
  </si>
  <si>
    <t>PALESTRA VIA STEFANARDO DA VIMERCATE, 14 – I.C. PAOLO E LARISSA PINI</t>
  </si>
  <si>
    <t>PALESTRA VIA SANT’ERLEMBARDO, 4 – I.C. PAOLO E LARISSA PINI</t>
  </si>
  <si>
    <t>PALESTRA VIA VENINI, 80 – I.C. GIORGI</t>
  </si>
  <si>
    <t>AULA VIA VENINI, 80 – I.C. GIORGI</t>
  </si>
  <si>
    <t>AULA VIALE BRIANZA, 18 – I.C. GIORGI</t>
  </si>
  <si>
    <t>PALESTRA ALTA VIALE BRIANZA, 18 – I.C. GIORGI</t>
  </si>
  <si>
    <t>PALESTRA BASSA VIALE BRIANZA, 18 – I.C. GIORGI</t>
  </si>
  <si>
    <t>CASCINA TURRO</t>
  </si>
  <si>
    <t>SALA ANFITEATRO MARTESANA</t>
  </si>
  <si>
    <t>SALA SANT’UGUZZONE</t>
  </si>
  <si>
    <t>struttura monopiano ex edificio scolastico scuola materna/ Via Sant'Uguzzone, 8 concessionario ATI casa dei Giochi</t>
  </si>
  <si>
    <t>Anfiteatro Martesana / concessionario ETC Ecologia Turismo e Cultura</t>
  </si>
  <si>
    <t xml:space="preserve">Sono decurtate dal canone le spese inerenti gli interventi di recupero edilizio ed impiantistico del fabbricato. </t>
  </si>
  <si>
    <t>Anfiteatro Martesana / concessionario Associazione 42</t>
  </si>
  <si>
    <t>Contratto concluso a dicembre 2023. Quota arretrata introitata ad agosto 2024, composta da una rata trimestrale e il residuo di una rata pregressa.</t>
  </si>
  <si>
    <t>bar all'interno del Parco Franca Rame concessionario Alma Bar</t>
  </si>
  <si>
    <t xml:space="preserve">Alloggio custodia plesso scolastico via Frigia 4 - Associazione Sportiva Dilettantistica San  Gabriele Basket </t>
  </si>
  <si>
    <r>
      <rPr>
        <b/>
        <sz val="12"/>
        <color rgb="FF000000"/>
        <rFont val="Calibri"/>
        <family val="2"/>
        <charset val="1"/>
      </rPr>
      <t xml:space="preserve">TOTALE GENERALE
</t>
    </r>
    <r>
      <rPr>
        <sz val="11"/>
        <color theme="1"/>
        <rFont val="Aptos Narrow"/>
        <family val="2"/>
        <scheme val="minor"/>
      </rPr>
      <t>importo comprensivo di I.V.A. ai sensi di legge</t>
    </r>
  </si>
  <si>
    <t>La responsabile Unità coordinamento</t>
  </si>
  <si>
    <t>Municipio 2</t>
  </si>
  <si>
    <t>*Dr.ssa Loredana Bellanca</t>
  </si>
  <si>
    <t>INTROITI PER CONCESSIONI DI LOCALI SCOLASTICI, SPAZI MULTIUSO, IMMOBILI E AREE - PERIODO: GENNAIO 2024 - DICEMBRE 2024</t>
  </si>
  <si>
    <t>MUNICIPIO 3</t>
  </si>
  <si>
    <t>I.C Stoppani plesso primaria Bacone 
via Matteucci 3
Palestra grande</t>
  </si>
  <si>
    <t>I.C Stoppani plesso primaria Bacone 
via Matteucci 3
Palestra piccola</t>
  </si>
  <si>
    <t>I.C Stoppani plesso primaria Bacone 
via Matteucci 3
Aula Cinema</t>
  </si>
  <si>
    <t>I.C Stoppani plesso primaria Bacone 
via Matteucci 3
Aula Tatami</t>
  </si>
  <si>
    <t>I.C Stoppani plesso primaria Stoppani 
via Stoppani 1
Palestra grande</t>
  </si>
  <si>
    <t>I.C Stoppani plesso secondaria Caterina da Siena 
via Monteverdi 6
Palestra grande</t>
  </si>
  <si>
    <t>I.C. Scarpa plesso primaria Scarpa
via Clericetti 22
Palestra</t>
  </si>
  <si>
    <t>I.C. Scarpa plesso primaria Scarpa
via Clericetti 22
Aula</t>
  </si>
  <si>
    <t>I.C. Scarpa plesso primaria Elsa Morante
via Pini 3
Palestra</t>
  </si>
  <si>
    <t>I.C. Scarpa plesso primaria Elsa Morante
via Pini 3
Aula</t>
  </si>
  <si>
    <t>I.C. Scarpa plesso secondaria Cairoli
via Pascal 35
Palestra</t>
  </si>
  <si>
    <t>I.C. Scarpa plesso secondaria Cairoli
via Pascal 35
Aula</t>
  </si>
  <si>
    <t>I.C Guido Galli primaria Nolli Arquati
V.le Romagna 16/18
Palestra superiore</t>
  </si>
  <si>
    <t>I.C Guido Galli primaria Nolli Arquati
V.le Romagna 16/18
Palestra inferiore</t>
  </si>
  <si>
    <t>I.C Guido Galli primaria Nolli Arquati
V.le Romagna 16/18
Aula teatro</t>
  </si>
  <si>
    <t xml:space="preserve">I.C Guido Galli primaria Nolli Arquati
V.le Romagna 16/18
Aula </t>
  </si>
  <si>
    <t>I.C Guido Galli primaria Bonetti
via Tajani 12
Palestra</t>
  </si>
  <si>
    <t>I.C Guido Galli primaria Bonetti
via Tajani 12
Aula</t>
  </si>
  <si>
    <t>I.C Guido Galli primaria Toti
via Cima 15
Palestra</t>
  </si>
  <si>
    <t>I.C Guido Galli primaria Toti
via Cima 15
Aula</t>
  </si>
  <si>
    <t>I.C Maniago plesso primaria Munari
via Feltre 68
Palestra</t>
  </si>
  <si>
    <t>I.C Maniago plesso primaria Munari
via Feltre 68
Aula</t>
  </si>
  <si>
    <t>I.C Maniago plesso primaria Fermi
via Carnia 32
Palestra</t>
  </si>
  <si>
    <t>I.C Maniago plesso primaria Fermi
via Carnia 32
Aula</t>
  </si>
  <si>
    <t>I.C Maniago plesso secondaria Buzzati
via Maniago 30
Palestra grande</t>
  </si>
  <si>
    <t>I.C Maniago plesso secondaria Buzzati
via Maniago 30
Palestra piccola</t>
  </si>
  <si>
    <t>I.C Maniago plesso secondaria Buzzati
via Maniago 30
Aula</t>
  </si>
  <si>
    <t>I.C Pisacane plesso primaria Pisacane
via Pisacane 9
Palestra grande</t>
  </si>
  <si>
    <t>I.C Pisacane plesso primaria Pisacane
via Pisacane 9
Palestra piccola</t>
  </si>
  <si>
    <t>I.C Pisacane plesso primaria Pisacane
via Pisacane 9
Aula</t>
  </si>
  <si>
    <t>I.C Pisacane plesso secondaria Locatelli Oriani
via Pisacane 13
Palestra</t>
  </si>
  <si>
    <t>I.C Pisacane plesso secondaria Locatelli Oriani
via Pisacane 13
Aula</t>
  </si>
  <si>
    <t>I.C. Galvani plesso primaria M. di Savoia e C. Borromeo
via Casati 6
Palestra</t>
  </si>
  <si>
    <t>I.C. Galvani plesso primaria M. di Savoia e C. Borromeo
via Casati 6
Aula teatro</t>
  </si>
  <si>
    <t>I.C. Galvani plesso primaria M. di Savoia e C. Borromeo
via Casati 6
Aula</t>
  </si>
  <si>
    <t>I.C. Quintino di Vona primaria Tito Speri
via Porpora 11
Palestra</t>
  </si>
  <si>
    <t>I.C. Quintino di Vona primaria Tito Speri
via Porpora 11
Aula</t>
  </si>
  <si>
    <t>I.C. Quintino di Vona secondaria
via Sacchini 34
Palestra</t>
  </si>
  <si>
    <t>I.C. Quintino di Vona secondaria
via Sacchini 34
Aula</t>
  </si>
  <si>
    <t>I.C. Leonardo da Vinci
Piazza Leonardo da Vinvci
Palestra piccola</t>
  </si>
  <si>
    <t xml:space="preserve">Palestra
Via Pini 1
</t>
  </si>
  <si>
    <t>Spazio in carico al Municipio 3 gestito con la stessa procedura dei locali scolastici.</t>
  </si>
  <si>
    <t>Via Sansovino, 9
Aula Consiliare</t>
  </si>
  <si>
    <t>Gratuità prevista con Delibera per le istituzioni scolastiche e i gruppi consiliari del Municipio 3.</t>
  </si>
  <si>
    <t>Via Valvassori Peroni, 56
Auditorium</t>
  </si>
  <si>
    <t>Orti ubicati in via Canelli Folli</t>
  </si>
  <si>
    <t>Via Tucidide, 10
Centro sportivo Scarioni</t>
  </si>
  <si>
    <t>BAR
via Valvassori Peroni</t>
  </si>
  <si>
    <t>Nuovo contratto di concessione iniziato il 01/06/2024</t>
  </si>
  <si>
    <t>Il/La Responsabile Unità Coordinamento</t>
  </si>
  <si>
    <t>Municipio 3</t>
  </si>
  <si>
    <t>Dr.ssa  Elisabetta Pedratti</t>
  </si>
  <si>
    <t>Canoni rivalutati sulla base dell'indice ISTAT</t>
  </si>
  <si>
    <t>MUNICIPIO 4</t>
  </si>
  <si>
    <t>Palestra Scuola Secondaria Via Mondolfo</t>
  </si>
  <si>
    <t>Palestra Scuola Primaria Via Sordello</t>
  </si>
  <si>
    <t xml:space="preserve">Salone Scuola Primaria Via Sordello </t>
  </si>
  <si>
    <t xml:space="preserve">Aula doposcuola Scuola Primaria Via Sordello </t>
  </si>
  <si>
    <t xml:space="preserve">Palestra Scuola Primaria L.go G. Gonzaga </t>
  </si>
  <si>
    <t xml:space="preserve">Aula sostegno Scuola Primaria L.go G. Gonzaga </t>
  </si>
  <si>
    <t>Aula Scuola Primaria L.go G. Gonzaga</t>
  </si>
  <si>
    <t>Palestra Scuola Primaria Via U. di Nemi</t>
  </si>
  <si>
    <t>Palestra piano terra Scuola Primaria Via Monte Piana</t>
  </si>
  <si>
    <t>Aula Scuola Primaria Via Monte Piana</t>
  </si>
  <si>
    <t xml:space="preserve">Palestra primo piano Scuola Primaria Via Monte Popera </t>
  </si>
  <si>
    <t>Palestra Scuola Secondaria Via Medici del Vascello</t>
  </si>
  <si>
    <t xml:space="preserve">Palestra Scuola Primaria Viale Mugello </t>
  </si>
  <si>
    <t xml:space="preserve">Aula Teatro Scuola Primaria Viale Mugello </t>
  </si>
  <si>
    <t xml:space="preserve">Aula Scuola Primaria Viale Mugello </t>
  </si>
  <si>
    <t xml:space="preserve">Palestra Scuola Secondaria Via Cipro </t>
  </si>
  <si>
    <t xml:space="preserve">Palestra Scuola Primaria Via Polesine </t>
  </si>
  <si>
    <t xml:space="preserve">Palestra piano terra Scuola Primaria Via Oglio </t>
  </si>
  <si>
    <t xml:space="preserve">Palestra Scuola Secondaria Via Mincio </t>
  </si>
  <si>
    <t xml:space="preserve">Palestra  Scuola Primaria Via Monte Velino </t>
  </si>
  <si>
    <t>Auditorium Scuola Secondaria                     Tito Livio</t>
  </si>
  <si>
    <t xml:space="preserve">Palestra Scuola Secondaria Tito Livio </t>
  </si>
  <si>
    <t xml:space="preserve">Palestra piano terra Scuola Primaria Via Colletta </t>
  </si>
  <si>
    <t xml:space="preserve">Palestra primo piano Scuola Primaria Via Colletta </t>
  </si>
  <si>
    <t>Atrio primo piano lato ascensore Scuola Primaria Via Colletta</t>
  </si>
  <si>
    <t>Atrio primo piano lato materna Scuola Primaria Via Colletta</t>
  </si>
  <si>
    <t>Palestra grande Scuola Primaria Via Ravenna</t>
  </si>
  <si>
    <t xml:space="preserve">Palestra primo piano Scuola Primaria Via Morosini </t>
  </si>
  <si>
    <t xml:space="preserve">Palestra piano terra Scuola Primaria Via Morosini </t>
  </si>
  <si>
    <t xml:space="preserve">Laboratorio Psicomotricità Scuola Primaria Via Morosini </t>
  </si>
  <si>
    <t xml:space="preserve">Salone /Androne Scuola Primaria Via Morosini </t>
  </si>
  <si>
    <t xml:space="preserve">Aula Scuola Primaria Via Morosini </t>
  </si>
  <si>
    <t xml:space="preserve">Aula musica Scuola Primaria Via Morosini </t>
  </si>
  <si>
    <t>Palestra Scuola Secondaria Via Bezzecca</t>
  </si>
  <si>
    <t>Palestra lato Mezzofanti Scuola Primaria Via Mezzofanti</t>
  </si>
  <si>
    <t xml:space="preserve">Palestra lato Devoto Scuola Primaria Via Mezzofanti </t>
  </si>
  <si>
    <t xml:space="preserve">Palestrina aula musica Scuola Primaria Via Mezzofanti </t>
  </si>
  <si>
    <t xml:space="preserve">Aula LIM n. 28 Scuola Primaria Via Mezzofanti </t>
  </si>
  <si>
    <t>Atrio Scuola Primaria Via Mezzofanti</t>
  </si>
  <si>
    <t xml:space="preserve">Palestra Scuola Secondaria Via Dalmazia </t>
  </si>
  <si>
    <t>Palestra piano rialzato Scuola Secondaria Via de Andreis</t>
  </si>
  <si>
    <t>Palestra piano seminterrato Scuola Secondaria Via de Andreis</t>
  </si>
  <si>
    <t xml:space="preserve">Palestra Scuola Primaria Via Decorati </t>
  </si>
  <si>
    <t>Aula Scuola Primaria Via Decorati</t>
  </si>
  <si>
    <t xml:space="preserve">Palestra Scuola Primaria Via Meleri </t>
  </si>
  <si>
    <t xml:space="preserve">Aula inglese Scuola Primaria Via Meleri </t>
  </si>
  <si>
    <t xml:space="preserve">Aula arti marziali Scuola Primaria Via Meleri </t>
  </si>
  <si>
    <t>Palestra Scuola Secondaria Via Cova</t>
  </si>
  <si>
    <t xml:space="preserve">Palestra Scuola Primaria Via Martinengo </t>
  </si>
  <si>
    <t xml:space="preserve">Palestrina Scuola Primaria Via Martinengo </t>
  </si>
  <si>
    <t xml:space="preserve">Palestra Scuola Primaria Viale Puglie </t>
  </si>
  <si>
    <t>Cam Mondolfo</t>
  </si>
  <si>
    <t xml:space="preserve">non si tratta di una tariffa oraria, ma di una tarifa relativa ad un blocco di utilizzo di 4h a cui si aggiunge una tariffa oraria per ogni ora di utilizzo oltre  le prime 4 </t>
  </si>
  <si>
    <t>Salone del Polo Ferrara</t>
  </si>
  <si>
    <t>Chiosco Pizzolpasso</t>
  </si>
  <si>
    <t>Parco Alessandrini</t>
  </si>
  <si>
    <t>Parco G. Cassinis</t>
  </si>
  <si>
    <t>Il Responsabile Unità Coordinamento</t>
  </si>
  <si>
    <t>Municipio 4</t>
  </si>
  <si>
    <t>*Dr. Tommaso Innocente</t>
  </si>
  <si>
    <t>INTROITI PER CONCESSIONI DI LOCALI SCOLASTICI, SPAZI MULTIUSO, IMMOBILI E AREE - PERIODO: GENNAIO -  DICEMBRE 2024</t>
  </si>
  <si>
    <t>MUNICIPIO 5</t>
  </si>
  <si>
    <t>ICS  ARCADIA - Via dell'Arcadia 22 
scuola primaria Arcadia 
palestra mq 847
aula psicomotricità mq 52</t>
  </si>
  <si>
    <t>ICS ARCADIA - Via dell'Arcadia 24 
scuola secondaria Arcadia 
palestra mq 848</t>
  </si>
  <si>
    <t>ICS ARCADIA - Via Baroni 73 (saponaro 36) 
scuola primaria Baroni 
palestra mq 260</t>
  </si>
  <si>
    <t>ICS ARCADIA Via Feraboli 44 
scuola Primaria Feraboli 
palestra grande mq 306 
palestra piccola mq 173</t>
  </si>
  <si>
    <t>ICS BAROZZI Via Bocconi 17 
scuola primaria Barozzi 
palestra mq 264
aula sostegno mq 32</t>
  </si>
  <si>
    <t>ICS BAROZZI Via G. Romano 2 
scuola primaria Giulio Romano 
palestra mq 186</t>
  </si>
  <si>
    <t>ICS BAROZZI Via Vittadini 10 
Scuola Confalonieri 
palestra mq 290
aula magna mq 110</t>
  </si>
  <si>
    <t>IC CAPPONI Via Pescarenico 6 
Elementare "MORO" 
palestra mq 242 
aula ora alternativa mq 34
aula teatro mq 86</t>
  </si>
  <si>
    <t>ICS Elsa Morante - Via Antonini 50 - Scuola primaria Damiano Chiesa 
palestra di mq 165 
aula di 50 mq                                                              corridoio 200-500 mq</t>
  </si>
  <si>
    <t>ICS Elsa Morante - Via dei Bognetti 15 
Scuola primaria 
palestra grande mq 374 
palestra piccola mq 280
aula mq 34
aula mq 17</t>
  </si>
  <si>
    <t>ICS Elsa Morante - Via Heine 2 
Scuola Secondaria 
palestra grande mq 436
palestra piccola mq 215</t>
  </si>
  <si>
    <t>ICS F. FILZI Via dei Guarneri 21 
scuola media Toscanini 
palestra mq 615</t>
  </si>
  <si>
    <t>ICS F. FILZI Via Wolf Ferrari 6 
Scuola primaria 
palestra mq 252 
aula giochi serali mq 46</t>
  </si>
  <si>
    <t>IC PALMIERI Via Palmieri 24 
scuola primaria C. Battisti
palestra mq 180</t>
  </si>
  <si>
    <t>IC PALMIERI Via S. Giacomo 1 
scuola primaria C. Peroni 
palestra mq 250 
palestrina psicomotricità mq 82 aula scacchi mq 40</t>
  </si>
  <si>
    <t>IC PALMIERI Via Boifava 52 
scuola secondaria 
S. Pertini 
palestra mq 263</t>
  </si>
  <si>
    <t>IC THOUAR GONZAGA via Brunacci 2/4
scuola primaria
palestra mq 176</t>
  </si>
  <si>
    <t>IC THOUAR GONZAGA Via Gentilino 14  
scuola primaria 
Plesso Piolti de Bianchi - G. Stampa 
palestra mq 235 
n. 1 aula mq 63</t>
  </si>
  <si>
    <t>IC THOUAR GONZAGA Via Tabacchi 15/A 
scuola secondaria di I grado 
O. TABACCHI 
palestra mq 235</t>
  </si>
  <si>
    <t>salone C.A.M. via Palmieri 18/20</t>
  </si>
  <si>
    <t>184.25</t>
  </si>
  <si>
    <t>la tariffa è fissata, per atto interno, fino ad un massimo di 4 ore. Per slot aggiuntivi vi sono tariffe variabili</t>
  </si>
  <si>
    <t>salone C.A.M. via Saponaro 30</t>
  </si>
  <si>
    <t>C.A.M. viale Tibaldi 41</t>
  </si>
  <si>
    <t>Via San Bernardo 17</t>
  </si>
  <si>
    <t>via Campazzino</t>
  </si>
  <si>
    <t>via Teresa Noce</t>
  </si>
  <si>
    <t>2 orti vuoti</t>
  </si>
  <si>
    <t>via Selvanesco</t>
  </si>
  <si>
    <t>via Vaiano Valle</t>
  </si>
  <si>
    <t xml:space="preserve"> 1 assegnato in itinere, paga 5 mesi</t>
  </si>
  <si>
    <t>via Bottoni</t>
  </si>
  <si>
    <t>Concessioni temporaneamente sospese per indagine terreni con Dir. Ambiente e Uni Bicocca</t>
  </si>
  <si>
    <t>Municipio 5</t>
  </si>
  <si>
    <t>*Dott. Giovanni Campana</t>
  </si>
  <si>
    <t>*Il Direttore</t>
  </si>
  <si>
    <t xml:space="preserve"> MUNICIPIO 6</t>
  </si>
  <si>
    <t>Scuola Primaria via Anemoni, 8 
Tariffa canone palestra</t>
  </si>
  <si>
    <t>Scuola Primaria via Anemoni, 8
 Tariffa canone aula</t>
  </si>
  <si>
    <t>Scuola Secondaria via Anemoni, 10 tariffa canone palestra</t>
  </si>
  <si>
    <t>Scuola Secondaria via Anemoni, 10 tariffa canone aula</t>
  </si>
  <si>
    <t>Scuola Primaria via dei Narcisi, 2
 Tariffa canone palestra</t>
  </si>
  <si>
    <t>Scuola Primaria via dei Narcisi, 2
 Tariffa canone aula</t>
  </si>
  <si>
    <t>Scuola Primaria via Pisa 1
 Tariffa canone palestra</t>
  </si>
  <si>
    <t>Scuola Primaria via Pisa 1
 Tariffa canone aula</t>
  </si>
  <si>
    <t>Scuola Primaria via Pisa 1
 Tariffa canone refettorio</t>
  </si>
  <si>
    <t>Scuola Primaria via Pisa 1
 Tariffa canone giardino</t>
  </si>
  <si>
    <t>Scuola Primaria via Bergognone, 2/4 tariffa canone palestra</t>
  </si>
  <si>
    <t>Scuola Primaria via Bergognone, 2/4 tariffa canone aula</t>
  </si>
  <si>
    <t>Scuola Primaria via delle Foppette, 1 tariffa canone palestra</t>
  </si>
  <si>
    <t>Scuola Primaria via delle Foppette, 1 tariffa canone aula</t>
  </si>
  <si>
    <t>Scuola Primaria via delle Foppette, 1 tariffa canone aula magna</t>
  </si>
  <si>
    <t>Scuola Primaria via delle Foppette, 1 tariffa canone giardino</t>
  </si>
  <si>
    <t>Scuola Secondaria via De Nicola, 40 tariffa canone palestra</t>
  </si>
  <si>
    <t>Scuola Secondaria via De Nicola, 40 tariffa canone aula</t>
  </si>
  <si>
    <t>Scuola Primaria via De Nicola, 2
 Tariffa canone palestra</t>
  </si>
  <si>
    <t>Scuola Primaria via De Nicola, 2 
Tariffa canone aula</t>
  </si>
  <si>
    <t>Scuola Primaria via Tosi, 21 
Tariffa canone palestra</t>
  </si>
  <si>
    <t>Scuola Primaria via Tosi, 21 tariffa canone aula</t>
  </si>
  <si>
    <t>Scuola Primaria via Pestalozzi, 13
 Tariffa canone palestra</t>
  </si>
  <si>
    <t>Scuola Primaria via Pestalozzi, 13
 Tariffa canone aula</t>
  </si>
  <si>
    <t>Scuola Secondaria via R. Carriera, 12 tariffa canone palestra</t>
  </si>
  <si>
    <t>Scuola Secondaria via R. Carriera, 12 
Tariffa canone aula</t>
  </si>
  <si>
    <t>Scuola Primaria via Vespri Siciliani 75 tariffa canone palestra</t>
  </si>
  <si>
    <t>Scuola Primaria via Vespri Siciliani 75 tariffa canone aula</t>
  </si>
  <si>
    <t>Scuola Primaria via Salerno, 3
 Tariffa canone palestra</t>
  </si>
  <si>
    <t>Scuola Primaria via Salerno, 3 
Tariffa canone aula</t>
  </si>
  <si>
    <t>Scuola Primaria via Salerno, 3 
Tariffa canone giardino</t>
  </si>
  <si>
    <t>Scuola Secondaria via Salerno, 1 
Tariffa canone palestra</t>
  </si>
  <si>
    <t>Scuola Secondaria via Salerno, 1 
Tariffa canone aula</t>
  </si>
  <si>
    <t>Scuola Secondaria via San Colombano 8 tariffa canone palestra</t>
  </si>
  <si>
    <t>Scuola Secondaria via San Colombano 8 tariffa canone aula</t>
  </si>
  <si>
    <t>Scuola Primaria via Crivelli, 3 
Tariffa canone palestra</t>
  </si>
  <si>
    <t>Scuola Primaria via Crivelli, 3 
Tariffa canone aula</t>
  </si>
  <si>
    <t>Scuola Secondaria  via Crivelli, 3 
Tariffa canone palestra</t>
  </si>
  <si>
    <t>Scuola Secondaria  via Crivelli, 3
 Tariffa canone aula</t>
  </si>
  <si>
    <t>Scuola Secondaria via Scrosati, 4
 Tariffa canone palestra</t>
  </si>
  <si>
    <t>Scuola Secondaria via Scrosati, 4 
Tariffa canone aula</t>
  </si>
  <si>
    <t>Scuola Primaria via Scrosati, 3 
Tariffa canone palestra</t>
  </si>
  <si>
    <t>Scuola Primaria via Scrosati, 3
 Tariffa canone aula</t>
  </si>
  <si>
    <t>Scuola Primaria via Vigevano, 19
 Tariffa canone palestra</t>
  </si>
  <si>
    <t>Scuola Primaria via Vigevano, 19
 Tariffa canone aula</t>
  </si>
  <si>
    <t>Scuola Secondaria via Zuara, 7
 Tariffa canone palestra</t>
  </si>
  <si>
    <t>Scuola Secondaria via Zuara, 7 
Tariffa canone aula</t>
  </si>
  <si>
    <t>Scuola Primaria via Zuara, 9
 Tariffa canone palestra</t>
  </si>
  <si>
    <t>Scuola Primaria via Zuara, 9 
Tariffa canone aula</t>
  </si>
  <si>
    <t>Scuola Primaria via Zuara, 9
 Tariffa canone giardino</t>
  </si>
  <si>
    <t>ex Fornace tariffa gratuita
Alzaia Naviglio Pavese 16 - piano T</t>
  </si>
  <si>
    <t>ex Fornace tariffa minima
Alzaia Naviglio Pavese 16 - piano T</t>
  </si>
  <si>
    <t>ex Fornace tariffa massima
Alzaia Naviglio Pavese 16 - piano T</t>
  </si>
  <si>
    <t>C.A.M.SAN PAOLINO  tariffa gratuita   via San Paolino  n. 18</t>
  </si>
  <si>
    <t>C.A.M.SAN PAOLINO  tariffa minima  via San Paolino  n. 18</t>
  </si>
  <si>
    <t>C.A.M. SAN PAOLINO tariffa massima via San Paolino n. 18</t>
  </si>
  <si>
    <t>C.A.M. Rudinì tariffa gratuita via Di Rudinì n. 14</t>
  </si>
  <si>
    <t>C.A.M. Rudinì tariffa minima via Di Rudinì n. 14</t>
  </si>
  <si>
    <t>C.A.M. Rudinì tariffa massima via Di Rudinì n. 14</t>
  </si>
  <si>
    <t>SALA CONSILIARE RENZO ORNELLA tariffa gratuita</t>
  </si>
  <si>
    <t>SALA CONSILIARE RENZO ORNELLA tariffa massima</t>
  </si>
  <si>
    <t>Seicentro Sala Arianna tariffa gratuita
Via Savona 99</t>
  </si>
  <si>
    <t>Seicentro sala Arianna tariffa minima
Via Savona 99</t>
  </si>
  <si>
    <t>Seicentro sala Arianna tariffa piena
Via Savona 99</t>
  </si>
  <si>
    <t>Seicentro sala Arianna tariffa di mercato
Via Savona 99</t>
  </si>
  <si>
    <t>Seicentro Sala Calliope  tariffa grauita
Via Savona 99</t>
  </si>
  <si>
    <t>Seicentro sala Calliope tariffa minima
Via Savona 99</t>
  </si>
  <si>
    <t>Seicentro sala Calliope tariffa piena
Via Savona 99</t>
  </si>
  <si>
    <t>Seicentro sala Calliope  tariffa di mercato
Via Savona 99</t>
  </si>
  <si>
    <t>Seicentro sala Teseo  tariffa  gratuita
Via Savona 99</t>
  </si>
  <si>
    <t>Seicentro sala Teseo  tariffa  minima
Via Savona 99</t>
  </si>
  <si>
    <t>Seicentro sala Teseo  tariffa  
piena
Via Savona 99</t>
  </si>
  <si>
    <t>Seicentro sala Teseo  tariffa di mercato
Via Savona 99</t>
  </si>
  <si>
    <t xml:space="preserve">Orti Barona - via De Finetti/via Danusso </t>
  </si>
  <si>
    <t xml:space="preserve">Orti  Fontanili - via Gozzoli/via Parri </t>
  </si>
  <si>
    <t>via Bari 18</t>
  </si>
  <si>
    <t>via Soderini 41/2</t>
  </si>
  <si>
    <t>via Parenzo 2/1</t>
  </si>
  <si>
    <t>ex casetta custode all'interno dell'ICS G. Capponi - via Tosi 21</t>
  </si>
  <si>
    <t>Centro Polifunzionale "Angelo Valdameri" TRE CASTELLI, via Martinelli n. 53 - Milano</t>
  </si>
  <si>
    <t>Spazio Santi - via Santi 8 - Milano</t>
  </si>
  <si>
    <t>scomputo per opere realizzate</t>
  </si>
  <si>
    <t>CENTRO "IPR" (Istituto Pedagogico  della Resistenza)
Via degli Anemoni n. 6 - Milano</t>
  </si>
  <si>
    <t>Casetta Odazio - via Odazio 7 - Milano</t>
  </si>
  <si>
    <t>Edicola Radetzky - Darsena, viale Gorizia - foglio 474/mapp.352 parte-</t>
  </si>
  <si>
    <t>Spazio Ex Deposito della Biblioteca di via S. Paolino 18- p. terra</t>
  </si>
  <si>
    <t>€. 1.470,00</t>
  </si>
  <si>
    <t>La casa delle artiste - Spazio Alda Merini
via Magolfa 32 (foglio 437- mapp.629, 660 e 628)</t>
  </si>
  <si>
    <t>3 strutture all'interno dell'area a verde attrezzata di via Tobagi 4</t>
  </si>
  <si>
    <t>via Faenza 29</t>
  </si>
  <si>
    <t>Alzaia Naviglio Pavese 16 - 1° piano</t>
  </si>
  <si>
    <t>rata 2024 non ancora emessa</t>
  </si>
  <si>
    <t>Municipio 6</t>
  </si>
  <si>
    <t>Milano, 9 gennaio 2025</t>
  </si>
  <si>
    <t>Il Direttore</t>
  </si>
  <si>
    <t>*Dott. ssa Gabriella Della Valle</t>
  </si>
  <si>
    <t>Milano, 2 gennaio 2025</t>
  </si>
  <si>
    <t>Milano, 3 gennaio 2025</t>
  </si>
  <si>
    <t>MUNICIPIO 9</t>
  </si>
  <si>
    <t>tariffa oraria 
pattuita</t>
  </si>
  <si>
    <t>concessioni in uso di locali scolastici
 (per singolo plesso)</t>
  </si>
  <si>
    <t>AULA - I.C. ARBE ZARA
Scuola Primaria "Poerio" - Via Pianell n. 40</t>
  </si>
  <si>
    <t>PALESTRA - I.C. ARBE ZARA
 Scuola Primaria "Poerio" - Via Pianell n. 40</t>
  </si>
  <si>
    <t xml:space="preserve">PALESTRA - I.C. CESARE CANTÚ
Scuola Primaria "Hanna Frank" - Via Dora Baltea n. 16 </t>
  </si>
  <si>
    <t>PALESTRA - I.C. CESARE CANTÚ
Scuola Primaria - Via  Dei Braschi n. 12</t>
  </si>
  <si>
    <t>PALESTRA - I.C. CONFALONIERI
Scuola Primaria - Via dal Verme n. 10</t>
  </si>
  <si>
    <t>PALESTRA - I.C. CONFALONIERI
 Scuola Secondaria di 1° grado "Govone" - Via Pepe n. 40</t>
  </si>
  <si>
    <t>PALESTRA - I.C. CONFALONIERI                                                                                                                                                                                                                                                                                                                                      Scuola Primaria Lambruschini - Via Crespi 1</t>
  </si>
  <si>
    <t>PALESTRA - I.C. DON ORIONE
Scuola Secondaria di 1° grado "Leonardo da Vinci" - Via Sand  n. 32</t>
  </si>
  <si>
    <t>PALESTRA - I.C. DON ORIONE
 Scuola Primaria "Caracciolo" - Via Iseo n. 7</t>
  </si>
  <si>
    <t>AULA PSICOMOTRICITA' - I.C. DON ORIONE
Scuola Primaria "Caracciolo" - Via Iseo n. 7</t>
  </si>
  <si>
    <t xml:space="preserve">PALESTRA - I.C. DON ORIONE 
Scuola Primaria  "Don Orione" - Via Fabriano n. 4 </t>
  </si>
  <si>
    <t xml:space="preserve">PALESTRA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</si>
  <si>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AULA MAGNA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</si>
  <si>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PALESTRA - .C. LOCATELLI/QUASIMODO 
Scuola Secondaria di 1° grado "Tommaseo" - Via Veglia n. 80</t>
  </si>
  <si>
    <t>PALESTRA - I.C. LOCCHI
Scuola Primaria "Duca degli Abruzzi" - Via Cesari n. 38</t>
  </si>
  <si>
    <t xml:space="preserve"> AUDITORIUM TEATRO - I.C. LOCCHI 
Scuola Primaria "Duca degli Abruzzi" - Via Cesari n. 38</t>
  </si>
  <si>
    <t>PALESTRA - I.C. SANDRO PERTINI 
Scuola Secondaria "Falcone e Borsellino" -  Via T. Mann n. 8</t>
  </si>
  <si>
    <t>PALESTRA - I.C. SANDRO PERTINI 
Scuola Primaria "Pertini"   - Via T. Mann n. 8</t>
  </si>
  <si>
    <t>PALESTRA - I.C. SANDRO PERTINI
Scuola Primaria "Pirelli" - Via da Bussero n. 9</t>
  </si>
  <si>
    <t>PALESTRA - I.C. SANDRO PERTINI 
Scuola Secondaria "Verga" - Via Asturie n. 1</t>
  </si>
  <si>
    <t>PALESTRA - I.C. SCIALOIA 
Scuola Primaria "Calvino" - Via Scialoia, 19</t>
  </si>
  <si>
    <t xml:space="preserve"> PALESTRA - I.C. SCIALOIA 
Scuola Secondaria di 1° grado "Buonarroti" - Via Scialoia n. 21</t>
  </si>
  <si>
    <t>PALESTRA - I.C. SORELLE AGAZZI
Scuola Primaria "Rodari"  - Via Gabbro 6</t>
  </si>
  <si>
    <t>PALESTRA - I.C. SORELLE AGAZZI
Scuola Secondaria di 1° grado "GANDHI" Piazza Gasparri n. 6</t>
  </si>
  <si>
    <t>PALESTRA - I.C. SORELLE AGAZZI 
Scuola  Secondaria di I° "Rodari" - Via Gabbro 6/a</t>
  </si>
  <si>
    <t>AULA - I.C. SORELLE AGAZZI 
Scuola Secondaria di I grado "Rodari" 
via Gabbro 6/a</t>
  </si>
  <si>
    <t>concessioni in uso spazi multiuso</t>
  </si>
  <si>
    <t>SPAZIO PALESTRA - CAM
 Via Ciriè n. 9</t>
  </si>
  <si>
    <t>SPAZIO TEATRO - CAM
Via Ciriè n. 9</t>
  </si>
  <si>
    <t>SALA - VILLA LITTA
Viale Affori n.21</t>
  </si>
  <si>
    <t>SALONE
Via Empoli n. 9/2</t>
  </si>
  <si>
    <t>AUDITORIUM "FALCONE E BORSELLINO" CASSINA ANNA
Via Sant'Arnaldo n. 17</t>
  </si>
  <si>
    <t>ANFITEATRO - CASSINA ANNA 
Via Sant'Arnaldo n. 17</t>
  </si>
  <si>
    <t>LOCALE RUSTICO - CASSINA ANNA 
Via Sant'Arnaldo n. 17</t>
  </si>
  <si>
    <t>PALESTRINA - CASSINA ANNA 
Via Sant'Arnaldo n. 17</t>
  </si>
  <si>
    <t>AUDITORIUM "TERESA SARTI STRADA"
Viale Cà Granda n. 19</t>
  </si>
  <si>
    <t>canone annuo 
pattuito</t>
  </si>
  <si>
    <t>Cassina Anna  
Via Sant'Arnaldo n. 17</t>
  </si>
  <si>
    <t>Via Cosenz</t>
  </si>
  <si>
    <t>Via Cascina dei Prati</t>
  </si>
  <si>
    <t>IMPIANTO SPORTIVO
 Via G. Pasta, 43</t>
  </si>
  <si>
    <t>PROGETTO ATS CAPOFILA  A&amp;I
Viale Affori n. 21</t>
  </si>
  <si>
    <r>
      <rPr>
        <b/>
        <sz val="12"/>
        <color theme="1"/>
        <rFont val="Calibri"/>
        <family val="2"/>
        <charset val="1"/>
      </rPr>
      <t xml:space="preserve">TOTALE GENERALE
</t>
    </r>
    <r>
      <rPr>
        <sz val="11"/>
        <color theme="1"/>
        <rFont val="Aptos Narrow"/>
        <family val="2"/>
        <scheme val="minor"/>
      </rPr>
      <t>importo comprensivo di I.V.A. ai sensi di legge</t>
    </r>
  </si>
  <si>
    <t>Municipio 9</t>
  </si>
  <si>
    <t>*Dr.ssa  Giuseppina Pedata</t>
  </si>
  <si>
    <t>Milano, 10 gennaio 2025</t>
  </si>
  <si>
    <r>
      <t xml:space="preserve">Effettuata rivalutazione annuale ISTAT sul canone annuo pattuito - </t>
    </r>
    <r>
      <rPr>
        <b/>
        <sz val="11"/>
        <color theme="1"/>
        <rFont val="Aptos Narrow"/>
        <family val="2"/>
        <scheme val="minor"/>
      </rPr>
      <t>Il canone pattuito è stato corretto e reso conforme agli atti atti gara.</t>
    </r>
  </si>
  <si>
    <r>
      <t xml:space="preserve">Canone singola particella annuale € 59,00 - 
</t>
    </r>
    <r>
      <rPr>
        <sz val="11"/>
        <color theme="1"/>
        <rFont val="Calibri"/>
        <family val="2"/>
      </rPr>
      <t>È</t>
    </r>
    <r>
      <rPr>
        <sz val="11"/>
        <color theme="1"/>
        <rFont val="Aptos Narrow"/>
        <family val="2"/>
        <scheme val="minor"/>
      </rPr>
      <t xml:space="preserve"> stato versato il canone di una particella riferito al mese di gennaio 2025</t>
    </r>
  </si>
  <si>
    <t xml:space="preserve">Canone singola particella annuale € 67,00 -
È stato versato il canone di una particella riferito al mese di gennaio 2025 </t>
  </si>
  <si>
    <t>Canone  singola particella annuale € 85,00 -</t>
  </si>
  <si>
    <t>*Dott.ssa Paola Pozzi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</si>
</sst>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[$€-2]\ #,##0.00;\-[$€-2]\ #,##0.00"/>
    <numFmt numFmtId="165" formatCode="0;[Red]0"/>
    <numFmt numFmtId="166" formatCode="&quot;€&quot;\ #,##0.00"/>
    <numFmt numFmtId="167" formatCode="[$€-2]\ #,##0.00"/>
    <numFmt numFmtId="168" formatCode="#,##0_ ;\-#,##0\ "/>
    <numFmt numFmtId="169" formatCode="#,##0.00\ &quot;€&quot;"/>
    <numFmt numFmtId="170" formatCode="[$€-2]\ #,##0.00;[Red][$€-2]\ #,##0.00"/>
    <numFmt numFmtId="171" formatCode="#,##0;[Red]#,##0"/>
    <numFmt numFmtId="172" formatCode="_-* #,##0.00\ [$€-410]_-;\-* #,##0.00\ [$€-410]_-;_-* \-??\ [$€-410]_-;_-@_-"/>
    <numFmt numFmtId="173" formatCode="#,##0.00&quot; €&quot;"/>
    <numFmt numFmtId="174" formatCode="&quot;€ &quot;#,##0.00"/>
    <numFmt numFmtId="175" formatCode="[$-410]dd/mm/yyyy"/>
    <numFmt numFmtId="176" formatCode="[$€-410]\ #,##0.00;[Red]\-[$€-410]\ #,##0.00"/>
  </numFmts>
  <fonts count="72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i/>
      <sz val="12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theme="1"/>
      <name val="Aptos Narrow"/>
      <family val="2"/>
      <charset val="1"/>
      <scheme val="minor"/>
    </font>
    <font>
      <b/>
      <sz val="14"/>
      <name val="Calibri"/>
      <family val="2"/>
    </font>
    <font>
      <b/>
      <sz val="13"/>
      <color rgb="FF000000"/>
      <name val="Calibri"/>
      <family val="2"/>
      <charset val="1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Frutiger"/>
    </font>
    <font>
      <sz val="16"/>
      <color rgb="FF000000"/>
      <name val="Frutige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6"/>
      <color rgb="FF000000"/>
      <name val="Frutiger"/>
      <charset val="1"/>
    </font>
    <font>
      <b/>
      <sz val="11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12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name val="Calibri"/>
      <family val="2"/>
      <charset val="1"/>
    </font>
    <font>
      <sz val="10"/>
      <color rgb="FF000000"/>
      <name val="Calibri"/>
      <family val="2"/>
      <charset val="1"/>
    </font>
    <font>
      <sz val="16"/>
      <color theme="1"/>
      <name val="Frutiger"/>
      <charset val="1"/>
    </font>
    <font>
      <b/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AE7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AE7F6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9CDE5"/>
        <bgColor rgb="FFC0C0C0"/>
      </patternFill>
    </fill>
    <fill>
      <patternFill patternType="solid">
        <fgColor rgb="FFB4C7E7"/>
        <bgColor rgb="FFCCCCFF"/>
      </patternFill>
    </fill>
    <fill>
      <patternFill patternType="solid">
        <fgColor rgb="FFDAE7F6"/>
        <bgColor rgb="FFDCE6F2"/>
      </patternFill>
    </fill>
    <fill>
      <patternFill patternType="solid">
        <fgColor theme="3" tint="0.79979857783745845"/>
        <bgColor rgb="FFC0C0C0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4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7" fontId="21" fillId="0" borderId="1" xfId="0" applyNumberFormat="1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14" fontId="18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9" fontId="0" fillId="0" borderId="0" xfId="0" applyNumberFormat="1"/>
    <xf numFmtId="0" fontId="31" fillId="0" borderId="3" xfId="0" applyFont="1" applyBorder="1" applyAlignment="1">
      <alignment horizontal="center" vertical="center" wrapText="1"/>
    </xf>
    <xf numFmtId="166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5" fillId="0" borderId="1" xfId="0" applyFont="1" applyBorder="1" applyAlignment="1">
      <alignment horizontal="left" vertical="center" wrapText="1"/>
    </xf>
    <xf numFmtId="0" fontId="31" fillId="0" borderId="1" xfId="0" quotePrefix="1" applyFont="1" applyBorder="1" applyAlignment="1">
      <alignment vertical="center" wrapText="1"/>
    </xf>
    <xf numFmtId="0" fontId="24" fillId="0" borderId="1" xfId="0" quotePrefix="1" applyFont="1" applyBorder="1" applyAlignment="1">
      <alignment vertical="center" wrapText="1"/>
    </xf>
    <xf numFmtId="0" fontId="32" fillId="0" borderId="0" xfId="0" applyFont="1" applyAlignment="1">
      <alignment wrapText="1"/>
    </xf>
    <xf numFmtId="169" fontId="0" fillId="0" borderId="0" xfId="0" applyNumberFormat="1" applyAlignment="1">
      <alignment wrapText="1"/>
    </xf>
    <xf numFmtId="0" fontId="0" fillId="0" borderId="4" xfId="0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166" fontId="25" fillId="0" borderId="1" xfId="0" applyNumberFormat="1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5" fillId="0" borderId="1" xfId="0" quotePrefix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167" fontId="31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31" fillId="0" borderId="1" xfId="0" quotePrefix="1" applyNumberFormat="1" applyFont="1" applyBorder="1" applyAlignment="1">
      <alignment horizontal="center" vertical="center" wrapText="1"/>
    </xf>
    <xf numFmtId="167" fontId="31" fillId="0" borderId="3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70" fontId="36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0" fontId="31" fillId="0" borderId="1" xfId="0" quotePrefix="1" applyFont="1" applyBorder="1" applyAlignment="1">
      <alignment horizontal="center" vertical="center" wrapText="1"/>
    </xf>
    <xf numFmtId="171" fontId="36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0" fillId="4" borderId="0" xfId="0" applyFill="1"/>
    <xf numFmtId="3" fontId="25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1" fillId="4" borderId="1" xfId="0" quotePrefix="1" applyFont="1" applyFill="1" applyBorder="1" applyAlignment="1">
      <alignment vertical="center" wrapText="1"/>
    </xf>
    <xf numFmtId="0" fontId="0" fillId="4" borderId="1" xfId="0" applyFill="1" applyBorder="1"/>
    <xf numFmtId="166" fontId="41" fillId="4" borderId="1" xfId="0" applyNumberFormat="1" applyFont="1" applyFill="1" applyBorder="1" applyAlignment="1">
      <alignment horizontal="center" vertical="center" wrapText="1"/>
    </xf>
    <xf numFmtId="3" fontId="36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4" borderId="1" xfId="0" applyNumberFormat="1" applyFill="1" applyBorder="1" applyAlignment="1">
      <alignment horizontal="center" vertical="center"/>
    </xf>
    <xf numFmtId="167" fontId="31" fillId="4" borderId="1" xfId="0" quotePrefix="1" applyNumberFormat="1" applyFont="1" applyFill="1" applyBorder="1" applyAlignment="1">
      <alignment horizontal="center" vertical="center" wrapText="1"/>
    </xf>
    <xf numFmtId="167" fontId="25" fillId="4" borderId="1" xfId="0" applyNumberFormat="1" applyFont="1" applyFill="1" applyBorder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 wrapText="1"/>
    </xf>
    <xf numFmtId="167" fontId="25" fillId="4" borderId="1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7" fontId="4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25" fillId="4" borderId="1" xfId="0" applyNumberFormat="1" applyFont="1" applyFill="1" applyBorder="1" applyAlignment="1">
      <alignment horizontal="center" vertical="center"/>
    </xf>
    <xf numFmtId="167" fontId="36" fillId="4" borderId="1" xfId="0" applyNumberFormat="1" applyFont="1" applyFill="1" applyBorder="1" applyAlignment="1">
      <alignment horizontal="center" vertical="center" wrapText="1"/>
    </xf>
    <xf numFmtId="1" fontId="31" fillId="4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0" fontId="31" fillId="4" borderId="1" xfId="0" quotePrefix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left" vertical="center" wrapText="1"/>
    </xf>
    <xf numFmtId="0" fontId="51" fillId="0" borderId="0" xfId="0" applyFont="1" applyAlignment="1">
      <alignment wrapText="1"/>
    </xf>
    <xf numFmtId="0" fontId="49" fillId="0" borderId="1" xfId="0" applyFont="1" applyBorder="1" applyAlignment="1">
      <alignment vertical="center" wrapText="1"/>
    </xf>
    <xf numFmtId="174" fontId="0" fillId="0" borderId="1" xfId="0" applyNumberFormat="1" applyBorder="1" applyAlignment="1">
      <alignment horizontal="center" vertical="center" wrapText="1"/>
    </xf>
    <xf numFmtId="173" fontId="0" fillId="0" borderId="1" xfId="0" applyNumberFormat="1" applyBorder="1" applyAlignment="1">
      <alignment horizontal="center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3" fontId="49" fillId="0" borderId="1" xfId="0" applyNumberFormat="1" applyFont="1" applyBorder="1" applyAlignment="1">
      <alignment horizontal="center" vertical="center" wrapText="1"/>
    </xf>
    <xf numFmtId="174" fontId="53" fillId="0" borderId="1" xfId="0" applyNumberFormat="1" applyFont="1" applyBorder="1" applyAlignment="1">
      <alignment horizontal="left" vertical="center" wrapText="1"/>
    </xf>
    <xf numFmtId="1" fontId="5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73" fontId="53" fillId="7" borderId="0" xfId="0" applyNumberFormat="1" applyFont="1" applyFill="1" applyAlignment="1">
      <alignment horizontal="center" vertical="center" wrapText="1"/>
    </xf>
    <xf numFmtId="174" fontId="0" fillId="7" borderId="1" xfId="0" applyNumberFormat="1" applyFill="1" applyBorder="1" applyAlignment="1">
      <alignment horizontal="center" vertical="center" wrapText="1"/>
    </xf>
    <xf numFmtId="175" fontId="0" fillId="0" borderId="0" xfId="0" applyNumberFormat="1"/>
    <xf numFmtId="0" fontId="55" fillId="0" borderId="1" xfId="0" applyFont="1" applyBorder="1" applyAlignment="1">
      <alignment horizontal="center" vertical="center" wrapText="1"/>
    </xf>
    <xf numFmtId="167" fontId="48" fillId="0" borderId="1" xfId="0" applyNumberFormat="1" applyFont="1" applyBorder="1" applyAlignment="1">
      <alignment horizontal="center" vertical="center" wrapText="1"/>
    </xf>
    <xf numFmtId="167" fontId="49" fillId="0" borderId="1" xfId="0" applyNumberFormat="1" applyFont="1" applyBorder="1" applyAlignment="1">
      <alignment horizontal="center" vertical="center" wrapText="1"/>
    </xf>
    <xf numFmtId="167" fontId="53" fillId="0" borderId="1" xfId="0" applyNumberFormat="1" applyFont="1" applyBorder="1" applyAlignment="1">
      <alignment horizontal="center" vertical="center" wrapText="1"/>
    </xf>
    <xf numFmtId="167" fontId="53" fillId="7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" fontId="49" fillId="0" borderId="1" xfId="0" applyNumberFormat="1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4" fontId="4" fillId="0" borderId="0" xfId="0" applyNumberFormat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67" fontId="42" fillId="0" borderId="1" xfId="0" applyNumberFormat="1" applyFont="1" applyBorder="1" applyAlignment="1">
      <alignment horizontal="center" vertical="center" wrapText="1"/>
    </xf>
    <xf numFmtId="1" fontId="42" fillId="0" borderId="1" xfId="0" applyNumberFormat="1" applyFont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 wrapText="1"/>
    </xf>
    <xf numFmtId="167" fontId="39" fillId="0" borderId="1" xfId="0" applyNumberFormat="1" applyFont="1" applyBorder="1" applyAlignment="1">
      <alignment horizontal="center" vertical="center" wrapText="1"/>
    </xf>
    <xf numFmtId="166" fontId="41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1" fillId="0" borderId="1" xfId="0" quotePrefix="1" applyFont="1" applyBorder="1" applyAlignment="1">
      <alignment vertical="center" wrapText="1"/>
    </xf>
    <xf numFmtId="166" fontId="0" fillId="0" borderId="1" xfId="0" applyNumberFormat="1" applyBorder="1" applyAlignment="1">
      <alignment horizontal="center" wrapText="1"/>
    </xf>
    <xf numFmtId="0" fontId="60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167" fontId="46" fillId="0" borderId="4" xfId="0" applyNumberFormat="1" applyFont="1" applyBorder="1" applyAlignment="1">
      <alignment horizontal="center" vertical="center" wrapText="1"/>
    </xf>
    <xf numFmtId="1" fontId="46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vertical="center" wrapText="1"/>
    </xf>
    <xf numFmtId="167" fontId="55" fillId="0" borderId="1" xfId="0" applyNumberFormat="1" applyFont="1" applyBorder="1" applyAlignment="1">
      <alignment horizontal="center" vertical="center" wrapText="1"/>
    </xf>
    <xf numFmtId="167" fontId="52" fillId="0" borderId="1" xfId="0" applyNumberFormat="1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/>
    </xf>
    <xf numFmtId="0" fontId="62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62" fillId="0" borderId="1" xfId="0" applyFont="1" applyBorder="1" applyAlignment="1">
      <alignment vertical="center" wrapText="1"/>
    </xf>
    <xf numFmtId="167" fontId="63" fillId="0" borderId="1" xfId="0" applyNumberFormat="1" applyFont="1" applyBorder="1" applyAlignment="1">
      <alignment horizontal="center" vertical="center" wrapText="1"/>
    </xf>
    <xf numFmtId="1" fontId="63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167" fontId="46" fillId="0" borderId="1" xfId="0" applyNumberFormat="1" applyFont="1" applyBorder="1" applyAlignment="1">
      <alignment horizontal="center" vertical="center" wrapText="1"/>
    </xf>
    <xf numFmtId="1" fontId="46" fillId="0" borderId="1" xfId="0" applyNumberFormat="1" applyFont="1" applyBorder="1" applyAlignment="1">
      <alignment horizontal="center" vertical="center" wrapText="1"/>
    </xf>
    <xf numFmtId="174" fontId="0" fillId="0" borderId="4" xfId="0" applyNumberFormat="1" applyBorder="1" applyAlignment="1">
      <alignment horizontal="center" vertical="center" wrapText="1"/>
    </xf>
    <xf numFmtId="167" fontId="63" fillId="7" borderId="4" xfId="0" applyNumberFormat="1" applyFont="1" applyFill="1" applyBorder="1" applyAlignment="1">
      <alignment horizontal="center" vertical="center" wrapText="1"/>
    </xf>
    <xf numFmtId="167" fontId="52" fillId="7" borderId="4" xfId="2" applyNumberFormat="1" applyFont="1" applyFill="1" applyBorder="1" applyAlignment="1">
      <alignment horizontal="center" vertical="center" wrapText="1"/>
    </xf>
    <xf numFmtId="1" fontId="52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167" fontId="63" fillId="7" borderId="1" xfId="0" applyNumberFormat="1" applyFont="1" applyFill="1" applyBorder="1" applyAlignment="1">
      <alignment horizontal="center" vertical="center" wrapText="1"/>
    </xf>
    <xf numFmtId="167" fontId="52" fillId="7" borderId="1" xfId="2" applyNumberFormat="1" applyFont="1" applyFill="1" applyBorder="1" applyAlignment="1">
      <alignment horizontal="center" vertical="center" wrapText="1"/>
    </xf>
    <xf numFmtId="167" fontId="52" fillId="0" borderId="1" xfId="2" applyNumberFormat="1" applyFont="1" applyBorder="1" applyAlignment="1">
      <alignment horizontal="center" vertical="center" wrapText="1"/>
    </xf>
    <xf numFmtId="167" fontId="63" fillId="0" borderId="4" xfId="0" applyNumberFormat="1" applyFont="1" applyBorder="1" applyAlignment="1">
      <alignment horizontal="center" vertical="center" wrapText="1"/>
    </xf>
    <xf numFmtId="0" fontId="63" fillId="0" borderId="0" xfId="0" applyFont="1"/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1" fontId="52" fillId="0" borderId="1" xfId="2" applyNumberFormat="1" applyFont="1" applyBorder="1" applyAlignment="1">
      <alignment horizontal="center" vertical="center" wrapText="1"/>
    </xf>
    <xf numFmtId="174" fontId="5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0" fontId="47" fillId="0" borderId="0" xfId="0" applyFont="1" applyAlignment="1">
      <alignment horizontal="center" vertical="center" wrapText="1"/>
    </xf>
    <xf numFmtId="4" fontId="0" fillId="0" borderId="0" xfId="0" applyNumberFormat="1"/>
    <xf numFmtId="0" fontId="17" fillId="0" borderId="1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left"/>
    </xf>
    <xf numFmtId="176" fontId="0" fillId="0" borderId="0" xfId="0" applyNumberFormat="1"/>
    <xf numFmtId="172" fontId="49" fillId="0" borderId="0" xfId="0" applyNumberFormat="1" applyFont="1"/>
    <xf numFmtId="0" fontId="17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vertical="center" wrapText="1"/>
    </xf>
    <xf numFmtId="1" fontId="17" fillId="4" borderId="1" xfId="0" applyNumberFormat="1" applyFont="1" applyFill="1" applyBorder="1" applyAlignment="1">
      <alignment horizontal="center" vertical="center"/>
    </xf>
    <xf numFmtId="0" fontId="50" fillId="0" borderId="0" xfId="0" applyFont="1"/>
    <xf numFmtId="0" fontId="0" fillId="0" borderId="0" xfId="0" applyAlignment="1" applyProtection="1">
      <alignment horizontal="left"/>
      <protection locked="0"/>
    </xf>
    <xf numFmtId="174" fontId="49" fillId="0" borderId="1" xfId="0" applyNumberFormat="1" applyFont="1" applyBorder="1" applyAlignment="1">
      <alignment horizontal="center" vertical="center" wrapText="1"/>
    </xf>
    <xf numFmtId="167" fontId="49" fillId="0" borderId="1" xfId="0" applyNumberFormat="1" applyFont="1" applyBorder="1" applyAlignment="1">
      <alignment horizontal="center" vertical="center"/>
    </xf>
    <xf numFmtId="1" fontId="48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/>
    </xf>
    <xf numFmtId="174" fontId="49" fillId="0" borderId="0" xfId="0" applyNumberFormat="1" applyFont="1" applyAlignment="1">
      <alignment horizontal="center" vertical="center" wrapText="1"/>
    </xf>
    <xf numFmtId="167" fontId="49" fillId="0" borderId="0" xfId="0" applyNumberFormat="1" applyFont="1" applyAlignment="1">
      <alignment horizontal="center" vertical="center"/>
    </xf>
    <xf numFmtId="3" fontId="49" fillId="0" borderId="0" xfId="0" applyNumberFormat="1" applyFont="1" applyAlignment="1">
      <alignment horizontal="center" vertical="center"/>
    </xf>
    <xf numFmtId="0" fontId="64" fillId="0" borderId="0" xfId="0" applyFont="1"/>
    <xf numFmtId="0" fontId="66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68" fillId="4" borderId="1" xfId="0" applyFont="1" applyFill="1" applyBorder="1" applyAlignment="1">
      <alignment vertical="center" wrapText="1"/>
    </xf>
    <xf numFmtId="4" fontId="68" fillId="4" borderId="1" xfId="0" applyNumberFormat="1" applyFont="1" applyFill="1" applyBorder="1" applyAlignment="1">
      <alignment vertical="center" wrapText="1"/>
    </xf>
    <xf numFmtId="0" fontId="50" fillId="4" borderId="1" xfId="0" applyFont="1" applyFill="1" applyBorder="1" applyAlignment="1">
      <alignment vertical="center" wrapText="1"/>
    </xf>
    <xf numFmtId="1" fontId="0" fillId="4" borderId="1" xfId="0" applyNumberForma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 wrapText="1"/>
    </xf>
    <xf numFmtId="0" fontId="69" fillId="0" borderId="1" xfId="0" applyFont="1" applyBorder="1" applyAlignment="1">
      <alignment vertical="center" wrapText="1"/>
    </xf>
    <xf numFmtId="174" fontId="69" fillId="0" borderId="1" xfId="0" applyNumberFormat="1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173" fontId="0" fillId="0" borderId="0" xfId="0" applyNumberFormat="1"/>
    <xf numFmtId="167" fontId="68" fillId="4" borderId="1" xfId="0" applyNumberFormat="1" applyFont="1" applyFill="1" applyBorder="1" applyAlignment="1">
      <alignment horizontal="center" vertical="center"/>
    </xf>
    <xf numFmtId="167" fontId="48" fillId="4" borderId="1" xfId="0" applyNumberFormat="1" applyFont="1" applyFill="1" applyBorder="1" applyAlignment="1">
      <alignment horizontal="center" vertical="center" wrapText="1"/>
    </xf>
    <xf numFmtId="167" fontId="69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167" fontId="2" fillId="0" borderId="1" xfId="0" applyNumberFormat="1" applyFont="1" applyBorder="1" applyAlignment="1">
      <alignment horizontal="center" vertical="center" wrapText="1"/>
    </xf>
    <xf numFmtId="170" fontId="5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167" fontId="0" fillId="4" borderId="2" xfId="0" applyNumberFormat="1" applyFill="1" applyBorder="1" applyAlignment="1">
      <alignment horizontal="center" vertical="center"/>
    </xf>
    <xf numFmtId="167" fontId="0" fillId="4" borderId="3" xfId="0" applyNumberFormat="1" applyFill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" fontId="42" fillId="0" borderId="2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42" fillId="0" borderId="3" xfId="0" applyNumberFormat="1" applyFont="1" applyBorder="1" applyAlignment="1">
      <alignment horizontal="center" vertical="center" wrapText="1"/>
    </xf>
    <xf numFmtId="167" fontId="0" fillId="4" borderId="4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5" fillId="6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/>
    <xf numFmtId="0" fontId="4" fillId="9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67" fontId="52" fillId="0" borderId="1" xfId="2" applyNumberFormat="1" applyFont="1" applyBorder="1" applyAlignment="1">
      <alignment horizontal="center" vertical="center" wrapText="1"/>
    </xf>
    <xf numFmtId="0" fontId="52" fillId="7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>
      <alignment horizontal="center" vertical="center"/>
    </xf>
    <xf numFmtId="0" fontId="45" fillId="10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9" fillId="11" borderId="5" xfId="0" applyFont="1" applyFill="1" applyBorder="1" applyAlignment="1">
      <alignment horizontal="center" vertical="center" wrapText="1"/>
    </xf>
    <xf numFmtId="0" fontId="69" fillId="11" borderId="6" xfId="0" applyFont="1" applyFill="1" applyBorder="1" applyAlignment="1">
      <alignment horizontal="center" vertical="center" wrapText="1"/>
    </xf>
    <xf numFmtId="0" fontId="69" fillId="11" borderId="7" xfId="0" applyFont="1" applyFill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/>
    </xf>
    <xf numFmtId="1" fontId="68" fillId="4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7" fontId="48" fillId="4" borderId="1" xfId="0" applyNumberFormat="1" applyFont="1" applyFill="1" applyBorder="1" applyAlignment="1">
      <alignment vertical="center" wrapText="1"/>
    </xf>
    <xf numFmtId="167" fontId="70" fillId="0" borderId="1" xfId="0" applyNumberFormat="1" applyFont="1" applyBorder="1" applyAlignment="1">
      <alignment horizontal="center" vertical="center" wrapText="1"/>
    </xf>
    <xf numFmtId="167" fontId="10" fillId="12" borderId="1" xfId="0" applyNumberFormat="1" applyFont="1" applyFill="1" applyBorder="1" applyAlignment="1">
      <alignment horizontal="center" vertical="center" wrapText="1"/>
    </xf>
    <xf numFmtId="167" fontId="71" fillId="0" borderId="1" xfId="0" applyNumberFormat="1" applyFont="1" applyBorder="1" applyAlignment="1">
      <alignment horizontal="center" vertical="center" wrapText="1"/>
    </xf>
  </cellXfs>
  <cellStyles count="3">
    <cellStyle name="Normale" xfId="0" builtinId="0"/>
    <cellStyle name="Normale 2" xfId="1" xr:uid="{A334A8D1-4A1B-4872-A58B-001399265304}"/>
    <cellStyle name="Normale 3" xfId="2" xr:uid="{79D5DE29-DC05-46BF-9B0C-175E5B6F6E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D50AB-6902-41CE-94F1-E103C19FADB5}">
  <dimension ref="A1:AW102"/>
  <sheetViews>
    <sheetView topLeftCell="A80" zoomScaleNormal="100" workbookViewId="0">
      <selection activeCell="G98" sqref="G98"/>
    </sheetView>
  </sheetViews>
  <sheetFormatPr defaultColWidth="9.109375" defaultRowHeight="14.4"/>
  <cols>
    <col min="1" max="1" width="3.44140625" customWidth="1"/>
    <col min="2" max="2" width="38.88671875" customWidth="1"/>
    <col min="3" max="3" width="49.33203125" customWidth="1"/>
    <col min="4" max="4" width="46.88671875" customWidth="1"/>
    <col min="5" max="5" width="15.88671875" customWidth="1"/>
    <col min="6" max="6" width="14.33203125" customWidth="1"/>
    <col min="7" max="7" width="15.33203125" customWidth="1"/>
    <col min="8" max="8" width="61" customWidth="1"/>
    <col min="12" max="12" width="13.109375" customWidth="1"/>
  </cols>
  <sheetData>
    <row r="1" spans="2:12" ht="30" customHeight="1">
      <c r="B1" s="68" t="s">
        <v>4</v>
      </c>
    </row>
    <row r="2" spans="2:12" ht="25.5" customHeight="1">
      <c r="B2" s="68" t="s">
        <v>5</v>
      </c>
      <c r="E2" s="115"/>
      <c r="F2" s="115"/>
    </row>
    <row r="3" spans="2:12" ht="12.75" customHeight="1">
      <c r="B3" s="68"/>
      <c r="E3" s="115"/>
      <c r="F3" s="115"/>
    </row>
    <row r="4" spans="2:12" ht="32.25" customHeight="1">
      <c r="B4" s="274" t="s">
        <v>6</v>
      </c>
      <c r="C4" s="274"/>
      <c r="D4" s="274"/>
      <c r="E4" s="274"/>
      <c r="F4" s="274"/>
      <c r="G4" s="274"/>
      <c r="H4" s="274"/>
    </row>
    <row r="5" spans="2:12" ht="31.5" customHeight="1">
      <c r="B5" s="274" t="s">
        <v>165</v>
      </c>
      <c r="C5" s="274"/>
      <c r="D5" s="274"/>
      <c r="E5" s="274"/>
      <c r="F5" s="274"/>
      <c r="G5" s="274"/>
      <c r="H5" s="274"/>
    </row>
    <row r="6" spans="2:12" ht="26.25" customHeight="1">
      <c r="B6" s="275" t="s">
        <v>8</v>
      </c>
      <c r="C6" s="275"/>
      <c r="D6" s="275"/>
      <c r="E6" s="275"/>
      <c r="F6" s="275"/>
      <c r="G6" s="275"/>
      <c r="H6" s="275"/>
    </row>
    <row r="7" spans="2:12" ht="73.5" customHeight="1">
      <c r="B7" s="116" t="s">
        <v>9</v>
      </c>
      <c r="C7" s="276" t="s">
        <v>10</v>
      </c>
      <c r="D7" s="277"/>
      <c r="E7" s="117" t="s">
        <v>11</v>
      </c>
      <c r="F7" s="117" t="s">
        <v>12</v>
      </c>
      <c r="G7" s="117" t="s">
        <v>2</v>
      </c>
      <c r="H7" s="118" t="s">
        <v>13</v>
      </c>
    </row>
    <row r="8" spans="2:12" ht="36.75" customHeight="1">
      <c r="B8" s="278" t="s">
        <v>14</v>
      </c>
      <c r="C8" s="281" t="s">
        <v>166</v>
      </c>
      <c r="D8" s="282"/>
      <c r="E8" s="283">
        <v>3159.98</v>
      </c>
      <c r="F8" s="129">
        <v>6.24</v>
      </c>
      <c r="G8" s="287">
        <v>9</v>
      </c>
      <c r="H8" s="118"/>
      <c r="K8" s="76"/>
    </row>
    <row r="9" spans="2:12" ht="36.75" customHeight="1">
      <c r="B9" s="279"/>
      <c r="C9" s="281" t="s">
        <v>167</v>
      </c>
      <c r="D9" s="282"/>
      <c r="E9" s="284"/>
      <c r="F9" s="129">
        <v>1.87</v>
      </c>
      <c r="G9" s="288"/>
      <c r="H9" s="118"/>
    </row>
    <row r="10" spans="2:12" ht="36.75" customHeight="1">
      <c r="B10" s="279"/>
      <c r="C10" s="281" t="s">
        <v>168</v>
      </c>
      <c r="D10" s="282"/>
      <c r="E10" s="284"/>
      <c r="F10" s="129">
        <v>2.73</v>
      </c>
      <c r="G10" s="288"/>
      <c r="H10" s="118"/>
    </row>
    <row r="11" spans="2:12" ht="36.75" customHeight="1">
      <c r="B11" s="279"/>
      <c r="C11" s="281" t="s">
        <v>169</v>
      </c>
      <c r="D11" s="282"/>
      <c r="E11" s="285"/>
      <c r="F11" s="129">
        <v>9.09</v>
      </c>
      <c r="G11" s="288"/>
      <c r="H11" s="118"/>
    </row>
    <row r="12" spans="2:12" ht="36.75" customHeight="1">
      <c r="B12" s="279"/>
      <c r="C12" s="281" t="s">
        <v>170</v>
      </c>
      <c r="D12" s="282"/>
      <c r="E12" s="286"/>
      <c r="F12" s="129">
        <v>2.73</v>
      </c>
      <c r="G12" s="289"/>
      <c r="H12" s="118"/>
      <c r="L12" s="76"/>
    </row>
    <row r="13" spans="2:12" ht="36.75" customHeight="1">
      <c r="B13" s="279"/>
      <c r="C13" s="281" t="s">
        <v>171</v>
      </c>
      <c r="D13" s="282"/>
      <c r="E13" s="283">
        <v>1769.32</v>
      </c>
      <c r="F13" s="129">
        <v>6.24</v>
      </c>
      <c r="G13" s="290">
        <v>3</v>
      </c>
      <c r="H13" s="118"/>
      <c r="L13" s="76"/>
    </row>
    <row r="14" spans="2:12" ht="36.75" customHeight="1">
      <c r="B14" s="279"/>
      <c r="C14" s="281" t="s">
        <v>172</v>
      </c>
      <c r="D14" s="282"/>
      <c r="E14" s="284"/>
      <c r="F14" s="129">
        <v>1.87</v>
      </c>
      <c r="G14" s="288"/>
      <c r="H14" s="118"/>
    </row>
    <row r="15" spans="2:12" ht="36.75" customHeight="1">
      <c r="B15" s="279"/>
      <c r="C15" s="281" t="s">
        <v>173</v>
      </c>
      <c r="D15" s="282"/>
      <c r="E15" s="285"/>
      <c r="F15" s="129">
        <v>9.09</v>
      </c>
      <c r="G15" s="288"/>
      <c r="H15" s="118"/>
    </row>
    <row r="16" spans="2:12" ht="36.75" customHeight="1">
      <c r="B16" s="279"/>
      <c r="C16" s="281" t="s">
        <v>174</v>
      </c>
      <c r="D16" s="282"/>
      <c r="E16" s="286"/>
      <c r="F16" s="129">
        <v>2.73</v>
      </c>
      <c r="G16" s="289"/>
      <c r="H16" s="118"/>
    </row>
    <row r="17" spans="2:12" ht="36.75" customHeight="1">
      <c r="B17" s="279"/>
      <c r="C17" s="281" t="s">
        <v>175</v>
      </c>
      <c r="D17" s="282"/>
      <c r="E17" s="283">
        <v>1977.31</v>
      </c>
      <c r="F17" s="129">
        <v>6.24</v>
      </c>
      <c r="G17" s="290">
        <v>5</v>
      </c>
      <c r="H17" s="118"/>
      <c r="L17" s="76"/>
    </row>
    <row r="18" spans="2:12" ht="36.75" customHeight="1">
      <c r="B18" s="279"/>
      <c r="C18" s="281" t="s">
        <v>176</v>
      </c>
      <c r="D18" s="282"/>
      <c r="E18" s="284"/>
      <c r="F18" s="129">
        <v>1.87</v>
      </c>
      <c r="G18" s="288"/>
      <c r="H18" s="118"/>
    </row>
    <row r="19" spans="2:12" ht="36.75" customHeight="1">
      <c r="B19" s="279"/>
      <c r="C19" s="281" t="s">
        <v>177</v>
      </c>
      <c r="D19" s="282"/>
      <c r="E19" s="285"/>
      <c r="F19" s="129">
        <v>9.09</v>
      </c>
      <c r="G19" s="288"/>
      <c r="H19" s="118"/>
    </row>
    <row r="20" spans="2:12" ht="36.75" customHeight="1">
      <c r="B20" s="279"/>
      <c r="C20" s="281" t="s">
        <v>178</v>
      </c>
      <c r="D20" s="282"/>
      <c r="E20" s="285"/>
      <c r="F20" s="129">
        <v>2.73</v>
      </c>
      <c r="G20" s="288"/>
      <c r="H20" s="118"/>
    </row>
    <row r="21" spans="2:12" ht="36.75" customHeight="1">
      <c r="B21" s="279"/>
      <c r="C21" s="281" t="s">
        <v>177</v>
      </c>
      <c r="D21" s="282"/>
      <c r="E21" s="285"/>
      <c r="F21" s="129">
        <v>15.91</v>
      </c>
      <c r="G21" s="288"/>
      <c r="H21" s="118"/>
    </row>
    <row r="22" spans="2:12" ht="36.75" customHeight="1">
      <c r="B22" s="279"/>
      <c r="C22" s="281" t="s">
        <v>178</v>
      </c>
      <c r="D22" s="282"/>
      <c r="E22" s="286"/>
      <c r="F22" s="129">
        <v>4.7699999999999996</v>
      </c>
      <c r="G22" s="289"/>
      <c r="H22" s="118"/>
    </row>
    <row r="23" spans="2:12" ht="36.75" customHeight="1">
      <c r="B23" s="279"/>
      <c r="C23" s="281" t="s">
        <v>179</v>
      </c>
      <c r="D23" s="282"/>
      <c r="E23" s="283">
        <v>1972.16</v>
      </c>
      <c r="F23" s="129">
        <v>6.24</v>
      </c>
      <c r="G23" s="287">
        <v>4</v>
      </c>
      <c r="H23" s="118"/>
    </row>
    <row r="24" spans="2:12" ht="36.75" customHeight="1">
      <c r="B24" s="279"/>
      <c r="C24" s="281" t="s">
        <v>180</v>
      </c>
      <c r="D24" s="282"/>
      <c r="E24" s="292"/>
      <c r="F24" s="129">
        <v>1.87</v>
      </c>
      <c r="G24" s="288"/>
      <c r="H24" s="118"/>
      <c r="L24" s="76"/>
    </row>
    <row r="25" spans="2:12" ht="36.75" customHeight="1">
      <c r="B25" s="279"/>
      <c r="C25" s="281" t="s">
        <v>181</v>
      </c>
      <c r="D25" s="282"/>
      <c r="E25" s="283">
        <v>2058.92</v>
      </c>
      <c r="F25" s="129">
        <v>15.91</v>
      </c>
      <c r="G25" s="293">
        <v>3</v>
      </c>
      <c r="H25" s="118"/>
    </row>
    <row r="26" spans="2:12" ht="36.75" customHeight="1">
      <c r="B26" s="279"/>
      <c r="C26" s="281" t="s">
        <v>182</v>
      </c>
      <c r="D26" s="282"/>
      <c r="E26" s="284"/>
      <c r="F26" s="129">
        <v>4.7699999999999996</v>
      </c>
      <c r="G26" s="293"/>
      <c r="H26" s="118"/>
    </row>
    <row r="27" spans="2:12" ht="36.75" customHeight="1">
      <c r="B27" s="279"/>
      <c r="C27" s="281" t="s">
        <v>183</v>
      </c>
      <c r="D27" s="282"/>
      <c r="E27" s="284"/>
      <c r="F27" s="129">
        <v>6.24</v>
      </c>
      <c r="G27" s="293"/>
      <c r="H27" s="118"/>
    </row>
    <row r="28" spans="2:12" ht="36.75" customHeight="1">
      <c r="B28" s="279"/>
      <c r="C28" s="281" t="s">
        <v>184</v>
      </c>
      <c r="D28" s="282"/>
      <c r="E28" s="292"/>
      <c r="F28" s="129">
        <v>1.88</v>
      </c>
      <c r="G28" s="293"/>
      <c r="H28" s="118"/>
    </row>
    <row r="29" spans="2:12" ht="36.75" customHeight="1">
      <c r="B29" s="279"/>
      <c r="C29" s="281" t="s">
        <v>185</v>
      </c>
      <c r="D29" s="282"/>
      <c r="E29" s="283">
        <v>533.77</v>
      </c>
      <c r="F29" s="129">
        <v>6.24</v>
      </c>
      <c r="G29" s="287">
        <v>4</v>
      </c>
      <c r="H29" s="118"/>
    </row>
    <row r="30" spans="2:12" ht="36.75" customHeight="1">
      <c r="B30" s="279"/>
      <c r="C30" s="281" t="s">
        <v>186</v>
      </c>
      <c r="D30" s="282"/>
      <c r="E30" s="284"/>
      <c r="F30" s="129">
        <v>1.87</v>
      </c>
      <c r="G30" s="291"/>
      <c r="H30" s="118"/>
      <c r="L30" s="76"/>
    </row>
    <row r="31" spans="2:12" ht="36.75" customHeight="1">
      <c r="B31" s="279"/>
      <c r="C31" s="281" t="s">
        <v>187</v>
      </c>
      <c r="D31" s="282"/>
      <c r="E31" s="284"/>
      <c r="F31" s="129">
        <v>2.73</v>
      </c>
      <c r="G31" s="291"/>
      <c r="H31" s="118"/>
    </row>
    <row r="32" spans="2:12" ht="36.75" customHeight="1">
      <c r="B32" s="279"/>
      <c r="C32" s="281" t="s">
        <v>188</v>
      </c>
      <c r="D32" s="282"/>
      <c r="E32" s="284"/>
      <c r="F32" s="129">
        <v>4.7699999999999996</v>
      </c>
      <c r="G32" s="288"/>
      <c r="H32" s="118"/>
    </row>
    <row r="33" spans="2:49" ht="36.75" customHeight="1">
      <c r="B33" s="279"/>
      <c r="C33" s="281" t="s">
        <v>189</v>
      </c>
      <c r="D33" s="282"/>
      <c r="E33" s="283">
        <v>556.65</v>
      </c>
      <c r="F33" s="129">
        <v>6.24</v>
      </c>
      <c r="G33" s="287">
        <v>5</v>
      </c>
      <c r="H33" s="118"/>
    </row>
    <row r="34" spans="2:49" ht="36.75" customHeight="1">
      <c r="B34" s="279"/>
      <c r="C34" s="281" t="s">
        <v>190</v>
      </c>
      <c r="D34" s="282"/>
      <c r="E34" s="284"/>
      <c r="F34" s="129">
        <v>1.88</v>
      </c>
      <c r="G34" s="291"/>
      <c r="H34" s="118"/>
    </row>
    <row r="35" spans="2:49" ht="36.75" customHeight="1">
      <c r="B35" s="279"/>
      <c r="C35" s="281" t="s">
        <v>191</v>
      </c>
      <c r="D35" s="282"/>
      <c r="E35" s="284"/>
      <c r="F35" s="129">
        <v>2.73</v>
      </c>
      <c r="G35" s="291"/>
      <c r="H35" s="118"/>
    </row>
    <row r="36" spans="2:49" ht="36.75" customHeight="1">
      <c r="B36" s="279"/>
      <c r="C36" s="281" t="s">
        <v>192</v>
      </c>
      <c r="D36" s="282"/>
      <c r="E36" s="283">
        <v>1092.46</v>
      </c>
      <c r="F36" s="129">
        <v>6.24</v>
      </c>
      <c r="G36" s="287">
        <v>6</v>
      </c>
      <c r="H36" s="118"/>
      <c r="L36" s="76"/>
    </row>
    <row r="37" spans="2:49" s="120" customFormat="1" ht="36.75" customHeight="1">
      <c r="B37" s="279"/>
      <c r="C37" s="281" t="s">
        <v>193</v>
      </c>
      <c r="D37" s="282"/>
      <c r="E37" s="284"/>
      <c r="F37" s="129">
        <v>1.88</v>
      </c>
      <c r="G37" s="288"/>
      <c r="H37" s="119"/>
      <c r="I37"/>
      <c r="J37"/>
      <c r="K37"/>
      <c r="L37" s="76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2:49" ht="36.75" customHeight="1">
      <c r="B38" s="279"/>
      <c r="C38" s="281" t="s">
        <v>194</v>
      </c>
      <c r="D38" s="282"/>
      <c r="E38" s="284"/>
      <c r="F38" s="129">
        <v>15.91</v>
      </c>
      <c r="G38" s="288"/>
      <c r="H38" s="118"/>
    </row>
    <row r="39" spans="2:49" ht="36.75" customHeight="1">
      <c r="B39" s="279"/>
      <c r="C39" s="281" t="s">
        <v>195</v>
      </c>
      <c r="D39" s="282"/>
      <c r="E39" s="292"/>
      <c r="F39" s="129">
        <v>7.95</v>
      </c>
      <c r="G39" s="289"/>
      <c r="H39" s="118"/>
    </row>
    <row r="40" spans="2:49" ht="36.75" customHeight="1">
      <c r="B40" s="279"/>
      <c r="C40" s="281" t="s">
        <v>196</v>
      </c>
      <c r="D40" s="282"/>
      <c r="E40" s="294">
        <v>821.64</v>
      </c>
      <c r="F40" s="129">
        <v>6.24</v>
      </c>
      <c r="G40" s="290">
        <v>5</v>
      </c>
      <c r="H40" s="118"/>
    </row>
    <row r="41" spans="2:49" s="120" customFormat="1" ht="36.75" customHeight="1">
      <c r="B41" s="279"/>
      <c r="C41" s="281" t="s">
        <v>197</v>
      </c>
      <c r="D41" s="282"/>
      <c r="E41" s="294"/>
      <c r="F41" s="129">
        <v>1.88</v>
      </c>
      <c r="G41" s="288"/>
      <c r="H41" s="119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2:49" s="120" customFormat="1" ht="36.75" customHeight="1">
      <c r="B42" s="279"/>
      <c r="C42" s="281" t="s">
        <v>198</v>
      </c>
      <c r="D42" s="282"/>
      <c r="E42" s="294"/>
      <c r="F42" s="129">
        <v>2.73</v>
      </c>
      <c r="G42" s="289"/>
      <c r="H42" s="119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2:49" s="120" customFormat="1" ht="36.75" customHeight="1">
      <c r="B43" s="279"/>
      <c r="C43" s="281" t="s">
        <v>199</v>
      </c>
      <c r="D43" s="282"/>
      <c r="E43" s="283">
        <v>305.27999999999997</v>
      </c>
      <c r="F43" s="129">
        <v>6.24</v>
      </c>
      <c r="G43" s="290">
        <v>1</v>
      </c>
      <c r="H43" s="119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2:49" s="120" customFormat="1" ht="36.75" customHeight="1">
      <c r="B44" s="279"/>
      <c r="C44" s="281" t="s">
        <v>200</v>
      </c>
      <c r="D44" s="282"/>
      <c r="E44" s="284"/>
      <c r="F44" s="129">
        <v>1.88</v>
      </c>
      <c r="G44" s="288"/>
      <c r="H44" s="119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2:49" s="120" customFormat="1" ht="36.75" customHeight="1">
      <c r="B45" s="279"/>
      <c r="C45" s="281" t="s">
        <v>201</v>
      </c>
      <c r="D45" s="282"/>
      <c r="E45" s="284"/>
      <c r="F45" s="129">
        <v>15.91</v>
      </c>
      <c r="G45" s="288"/>
      <c r="H45" s="119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2:49" s="120" customFormat="1" ht="36.75" customHeight="1">
      <c r="B46" s="279"/>
      <c r="C46" s="281" t="s">
        <v>202</v>
      </c>
      <c r="D46" s="282"/>
      <c r="E46" s="292"/>
      <c r="F46" s="129">
        <v>7.95</v>
      </c>
      <c r="G46" s="289"/>
      <c r="H46" s="119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2:49" s="120" customFormat="1" ht="36.75" customHeight="1">
      <c r="B47" s="279"/>
      <c r="C47" s="281" t="s">
        <v>203</v>
      </c>
      <c r="D47" s="282"/>
      <c r="E47" s="283">
        <v>2345.84</v>
      </c>
      <c r="F47" s="129">
        <v>6.24</v>
      </c>
      <c r="G47" s="295">
        <v>9</v>
      </c>
      <c r="H47" s="119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2:49" s="120" customFormat="1" ht="36.75" customHeight="1">
      <c r="B48" s="279"/>
      <c r="C48" s="281" t="s">
        <v>204</v>
      </c>
      <c r="D48" s="282"/>
      <c r="E48" s="284"/>
      <c r="F48" s="129">
        <v>1.88</v>
      </c>
      <c r="G48" s="296"/>
      <c r="H48" s="119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2:46" s="120" customFormat="1" ht="36.75" customHeight="1">
      <c r="B49" s="279"/>
      <c r="C49" s="281" t="s">
        <v>205</v>
      </c>
      <c r="D49" s="282"/>
      <c r="E49" s="284"/>
      <c r="F49" s="129">
        <v>4.7699999999999996</v>
      </c>
      <c r="G49" s="296"/>
      <c r="H49" s="11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2:46" s="120" customFormat="1" ht="36.75" customHeight="1">
      <c r="B50" s="280"/>
      <c r="C50" s="281" t="s">
        <v>206</v>
      </c>
      <c r="D50" s="282"/>
      <c r="E50" s="292"/>
      <c r="F50" s="129">
        <v>2.73</v>
      </c>
      <c r="G50" s="297"/>
      <c r="H50" s="119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2:46" ht="25.5" customHeight="1">
      <c r="B51" s="81" t="s">
        <v>70</v>
      </c>
      <c r="C51" s="73"/>
      <c r="D51" s="73"/>
      <c r="E51" s="130">
        <f>SUM(E8:E50)</f>
        <v>16593.330000000002</v>
      </c>
      <c r="F51" s="130">
        <f>SUM(F8:F50)</f>
        <v>236.99999999999994</v>
      </c>
      <c r="G51" s="121">
        <f>SUM(G8:G50)</f>
        <v>54</v>
      </c>
      <c r="H51" s="83"/>
    </row>
    <row r="52" spans="2:46" ht="25.5" customHeight="1">
      <c r="B52" s="300" t="s">
        <v>71</v>
      </c>
      <c r="C52" s="300" t="s">
        <v>207</v>
      </c>
      <c r="D52" s="299" t="s">
        <v>208</v>
      </c>
      <c r="E52" s="294">
        <v>176.2</v>
      </c>
      <c r="F52" s="131">
        <v>5</v>
      </c>
      <c r="G52" s="298">
        <v>8</v>
      </c>
      <c r="H52" s="123" t="s">
        <v>209</v>
      </c>
    </row>
    <row r="53" spans="2:46" ht="25.5" customHeight="1">
      <c r="B53" s="301"/>
      <c r="C53" s="301"/>
      <c r="D53" s="299"/>
      <c r="E53" s="294"/>
      <c r="F53" s="131">
        <v>25</v>
      </c>
      <c r="G53" s="298"/>
      <c r="H53" s="123" t="s">
        <v>210</v>
      </c>
      <c r="I53" s="84"/>
      <c r="J53" s="84"/>
      <c r="K53" s="84"/>
    </row>
    <row r="54" spans="2:46" ht="25.5" customHeight="1">
      <c r="B54" s="301"/>
      <c r="C54" s="301"/>
      <c r="D54" s="299" t="s">
        <v>211</v>
      </c>
      <c r="E54" s="294">
        <v>39.6</v>
      </c>
      <c r="F54" s="131">
        <v>3.7</v>
      </c>
      <c r="G54" s="298">
        <v>2</v>
      </c>
      <c r="H54" s="123" t="s">
        <v>212</v>
      </c>
      <c r="I54" s="84"/>
      <c r="J54" s="84"/>
      <c r="K54" s="84"/>
    </row>
    <row r="55" spans="2:46" ht="25.5" customHeight="1">
      <c r="B55" s="301"/>
      <c r="C55" s="301"/>
      <c r="D55" s="299"/>
      <c r="E55" s="294"/>
      <c r="F55" s="131">
        <v>18.5</v>
      </c>
      <c r="G55" s="298"/>
      <c r="H55" s="123" t="s">
        <v>213</v>
      </c>
      <c r="I55" s="84"/>
      <c r="J55" s="84"/>
      <c r="K55" s="84"/>
    </row>
    <row r="56" spans="2:46" ht="25.5" customHeight="1">
      <c r="B56" s="301"/>
      <c r="C56" s="301"/>
      <c r="D56" s="299" t="s">
        <v>214</v>
      </c>
      <c r="E56" s="294">
        <v>0</v>
      </c>
      <c r="F56" s="131">
        <v>3.7</v>
      </c>
      <c r="G56" s="298">
        <v>0</v>
      </c>
      <c r="H56" s="140" t="s">
        <v>236</v>
      </c>
      <c r="I56" s="84"/>
      <c r="J56" s="84"/>
      <c r="K56" s="84"/>
    </row>
    <row r="57" spans="2:46" ht="25.5" customHeight="1">
      <c r="B57" s="301"/>
      <c r="C57" s="301"/>
      <c r="D57" s="299"/>
      <c r="E57" s="294"/>
      <c r="F57" s="131">
        <v>18.5</v>
      </c>
      <c r="G57" s="298"/>
      <c r="H57" s="140" t="s">
        <v>236</v>
      </c>
      <c r="I57" s="84"/>
      <c r="J57" s="84"/>
      <c r="K57" s="84"/>
    </row>
    <row r="58" spans="2:46" ht="25.5" customHeight="1">
      <c r="B58" s="301"/>
      <c r="C58" s="301"/>
      <c r="D58" s="299" t="s">
        <v>215</v>
      </c>
      <c r="E58" s="294">
        <v>10</v>
      </c>
      <c r="F58" s="131">
        <v>5</v>
      </c>
      <c r="G58" s="298">
        <v>2</v>
      </c>
      <c r="H58" s="123" t="s">
        <v>209</v>
      </c>
      <c r="I58" s="84"/>
      <c r="J58" s="84"/>
      <c r="K58" s="84"/>
    </row>
    <row r="59" spans="2:46" ht="25.5" customHeight="1">
      <c r="B59" s="301"/>
      <c r="C59" s="302"/>
      <c r="D59" s="299"/>
      <c r="E59" s="294"/>
      <c r="F59" s="131">
        <v>25</v>
      </c>
      <c r="G59" s="298"/>
      <c r="H59" s="123" t="s">
        <v>210</v>
      </c>
      <c r="I59" s="84"/>
      <c r="J59" s="84"/>
      <c r="K59" s="84"/>
    </row>
    <row r="60" spans="2:46" ht="25.5" customHeight="1">
      <c r="B60" s="301"/>
      <c r="C60" s="300" t="s">
        <v>216</v>
      </c>
      <c r="D60" s="299" t="s">
        <v>217</v>
      </c>
      <c r="E60" s="283">
        <v>121.7</v>
      </c>
      <c r="F60" s="131">
        <v>5</v>
      </c>
      <c r="G60" s="303">
        <v>8</v>
      </c>
      <c r="H60" s="123" t="s">
        <v>209</v>
      </c>
      <c r="I60" s="84"/>
      <c r="J60" s="84"/>
      <c r="K60" s="84"/>
    </row>
    <row r="61" spans="2:46" ht="25.5" customHeight="1">
      <c r="B61" s="301"/>
      <c r="C61" s="301"/>
      <c r="D61" s="299"/>
      <c r="E61" s="292"/>
      <c r="F61" s="131">
        <v>25</v>
      </c>
      <c r="G61" s="304"/>
      <c r="H61" s="123" t="s">
        <v>210</v>
      </c>
      <c r="I61" s="84"/>
      <c r="J61" s="84"/>
      <c r="K61" s="84"/>
    </row>
    <row r="62" spans="2:46" ht="25.5" customHeight="1">
      <c r="B62" s="301"/>
      <c r="C62" s="301"/>
      <c r="D62" s="299" t="s">
        <v>218</v>
      </c>
      <c r="E62" s="283">
        <v>0</v>
      </c>
      <c r="F62" s="131">
        <v>3.7</v>
      </c>
      <c r="G62" s="303">
        <v>0</v>
      </c>
      <c r="H62" s="140" t="s">
        <v>236</v>
      </c>
      <c r="I62" s="84"/>
      <c r="J62" s="84"/>
      <c r="K62" s="84"/>
    </row>
    <row r="63" spans="2:46" ht="25.5" customHeight="1">
      <c r="B63" s="301"/>
      <c r="C63" s="302"/>
      <c r="D63" s="299"/>
      <c r="E63" s="292"/>
      <c r="F63" s="131">
        <v>18.5</v>
      </c>
      <c r="G63" s="304"/>
      <c r="H63" s="140" t="s">
        <v>236</v>
      </c>
      <c r="I63" s="84"/>
      <c r="J63" s="84"/>
      <c r="K63" s="84"/>
    </row>
    <row r="64" spans="2:46" ht="25.5" customHeight="1">
      <c r="B64" s="301"/>
      <c r="C64" s="300" t="s">
        <v>219</v>
      </c>
      <c r="D64" s="299" t="s">
        <v>220</v>
      </c>
      <c r="E64" s="283">
        <v>0</v>
      </c>
      <c r="F64" s="131">
        <v>3.7</v>
      </c>
      <c r="G64" s="303">
        <v>0</v>
      </c>
      <c r="H64" s="140" t="s">
        <v>236</v>
      </c>
      <c r="I64" s="84"/>
      <c r="J64" s="84"/>
      <c r="K64" s="84"/>
    </row>
    <row r="65" spans="1:11" ht="25.5" customHeight="1">
      <c r="B65" s="301"/>
      <c r="C65" s="301"/>
      <c r="D65" s="299"/>
      <c r="E65" s="292"/>
      <c r="F65" s="131">
        <v>18.5</v>
      </c>
      <c r="G65" s="304"/>
      <c r="H65" s="140" t="s">
        <v>236</v>
      </c>
      <c r="I65" s="84"/>
      <c r="J65" s="84"/>
      <c r="K65" s="84"/>
    </row>
    <row r="66" spans="1:11" ht="25.5" customHeight="1">
      <c r="B66" s="301"/>
      <c r="C66" s="301"/>
      <c r="D66" s="299" t="s">
        <v>221</v>
      </c>
      <c r="E66" s="283">
        <v>0</v>
      </c>
      <c r="F66" s="131">
        <v>3.7</v>
      </c>
      <c r="G66" s="303">
        <v>0</v>
      </c>
      <c r="H66" s="140" t="s">
        <v>236</v>
      </c>
      <c r="I66" s="84"/>
      <c r="J66" s="84"/>
      <c r="K66" s="84"/>
    </row>
    <row r="67" spans="1:11" ht="25.5" customHeight="1">
      <c r="B67" s="301"/>
      <c r="C67" s="301"/>
      <c r="D67" s="299"/>
      <c r="E67" s="292"/>
      <c r="F67" s="131">
        <v>18.5</v>
      </c>
      <c r="G67" s="304"/>
      <c r="H67" s="140" t="s">
        <v>236</v>
      </c>
      <c r="I67" s="84"/>
      <c r="J67" s="84"/>
      <c r="K67" s="84"/>
    </row>
    <row r="68" spans="1:11" ht="25.5" customHeight="1">
      <c r="B68" s="301"/>
      <c r="C68" s="301"/>
      <c r="D68" s="299" t="s">
        <v>217</v>
      </c>
      <c r="E68" s="283">
        <v>0</v>
      </c>
      <c r="F68" s="131">
        <v>6.2</v>
      </c>
      <c r="G68" s="303">
        <v>0</v>
      </c>
      <c r="H68" s="140" t="s">
        <v>236</v>
      </c>
      <c r="I68" s="84"/>
      <c r="J68" s="84"/>
      <c r="K68" s="84"/>
    </row>
    <row r="69" spans="1:11" ht="25.5" customHeight="1">
      <c r="B69" s="301"/>
      <c r="C69" s="302"/>
      <c r="D69" s="299"/>
      <c r="E69" s="292"/>
      <c r="F69" s="131">
        <v>37</v>
      </c>
      <c r="G69" s="304"/>
      <c r="H69" s="140" t="s">
        <v>236</v>
      </c>
      <c r="I69" s="84"/>
      <c r="J69" s="84"/>
      <c r="K69" s="84"/>
    </row>
    <row r="70" spans="1:11" ht="25.5" customHeight="1">
      <c r="B70" s="301"/>
      <c r="C70" s="300" t="s">
        <v>224</v>
      </c>
      <c r="D70" s="299" t="s">
        <v>225</v>
      </c>
      <c r="E70" s="283">
        <v>194.75</v>
      </c>
      <c r="F70" s="131">
        <v>3.7</v>
      </c>
      <c r="G70" s="303">
        <v>13</v>
      </c>
      <c r="H70" s="123" t="s">
        <v>212</v>
      </c>
      <c r="I70" s="84"/>
      <c r="J70" s="84"/>
      <c r="K70" s="84"/>
    </row>
    <row r="71" spans="1:11" ht="25.5" customHeight="1">
      <c r="B71" s="301"/>
      <c r="C71" s="301"/>
      <c r="D71" s="299"/>
      <c r="E71" s="292"/>
      <c r="F71" s="131">
        <v>18.5</v>
      </c>
      <c r="G71" s="304"/>
      <c r="H71" s="123" t="s">
        <v>213</v>
      </c>
      <c r="I71" s="84"/>
      <c r="J71" s="84"/>
      <c r="K71" s="84"/>
    </row>
    <row r="72" spans="1:11" ht="25.5" customHeight="1">
      <c r="B72" s="301"/>
      <c r="C72" s="301"/>
      <c r="D72" s="299" t="s">
        <v>226</v>
      </c>
      <c r="E72" s="283">
        <v>1989.35</v>
      </c>
      <c r="F72" s="131">
        <v>6.2</v>
      </c>
      <c r="G72" s="303">
        <v>54</v>
      </c>
      <c r="H72" s="123" t="s">
        <v>222</v>
      </c>
      <c r="I72" s="84"/>
      <c r="J72" s="84"/>
      <c r="K72" s="84"/>
    </row>
    <row r="73" spans="1:11" ht="25.5" customHeight="1">
      <c r="B73" s="301"/>
      <c r="C73" s="301"/>
      <c r="D73" s="299"/>
      <c r="E73" s="292"/>
      <c r="F73" s="131">
        <v>37</v>
      </c>
      <c r="G73" s="304"/>
      <c r="H73" s="123" t="s">
        <v>223</v>
      </c>
      <c r="I73" s="84"/>
      <c r="J73" s="84"/>
      <c r="K73" s="84"/>
    </row>
    <row r="74" spans="1:11" ht="25.5" customHeight="1">
      <c r="B74" s="301"/>
      <c r="C74" s="301"/>
      <c r="D74" s="299" t="s">
        <v>227</v>
      </c>
      <c r="E74" s="283">
        <v>143.30000000000001</v>
      </c>
      <c r="F74" s="131">
        <v>3.7</v>
      </c>
      <c r="G74" s="303">
        <v>7</v>
      </c>
      <c r="H74" s="123" t="s">
        <v>212</v>
      </c>
      <c r="I74" s="84"/>
      <c r="J74" s="84"/>
      <c r="K74" s="84"/>
    </row>
    <row r="75" spans="1:11" ht="25.5" customHeight="1">
      <c r="B75" s="302"/>
      <c r="C75" s="302"/>
      <c r="D75" s="299"/>
      <c r="E75" s="292"/>
      <c r="F75" s="131">
        <v>18.5</v>
      </c>
      <c r="G75" s="304"/>
      <c r="H75" s="123" t="s">
        <v>213</v>
      </c>
      <c r="I75" s="84"/>
      <c r="J75" s="84"/>
      <c r="K75" s="84"/>
    </row>
    <row r="76" spans="1:11" ht="25.5" customHeight="1">
      <c r="B76" s="87" t="s">
        <v>70</v>
      </c>
      <c r="C76" s="87"/>
      <c r="D76" s="87"/>
      <c r="E76" s="130">
        <f>SUM(E52:E75)</f>
        <v>2674.9</v>
      </c>
      <c r="F76" s="130">
        <f>SUM(F52:F75)</f>
        <v>331.79999999999995</v>
      </c>
      <c r="G76" s="136">
        <f>SUM(G52:G75)</f>
        <v>94</v>
      </c>
      <c r="H76" s="83"/>
      <c r="I76" s="84"/>
      <c r="J76" s="84"/>
      <c r="K76" s="84"/>
    </row>
    <row r="77" spans="1:11" ht="31.5" customHeight="1">
      <c r="B77" s="305" t="s">
        <v>77</v>
      </c>
      <c r="C77" s="306"/>
      <c r="D77" s="306"/>
      <c r="E77" s="306"/>
      <c r="F77" s="306"/>
      <c r="G77" s="306"/>
      <c r="H77" s="307"/>
    </row>
    <row r="78" spans="1:11" ht="53.25" customHeight="1">
      <c r="A78" s="8"/>
      <c r="B78" s="117" t="s">
        <v>9</v>
      </c>
      <c r="C78" s="117" t="s">
        <v>78</v>
      </c>
      <c r="D78" s="117"/>
      <c r="E78" s="117" t="s">
        <v>11</v>
      </c>
      <c r="F78" s="117" t="s">
        <v>79</v>
      </c>
      <c r="G78" s="117" t="s">
        <v>2</v>
      </c>
      <c r="H78" s="118" t="s">
        <v>80</v>
      </c>
    </row>
    <row r="79" spans="1:11" ht="28.8" customHeight="1">
      <c r="B79" s="312" t="s">
        <v>81</v>
      </c>
      <c r="C79" s="96" t="s">
        <v>228</v>
      </c>
      <c r="D79" s="96"/>
      <c r="E79" s="131">
        <v>62831.02</v>
      </c>
      <c r="F79" s="131">
        <v>62831.02</v>
      </c>
      <c r="G79" s="138">
        <v>1</v>
      </c>
      <c r="H79" s="271" t="s">
        <v>599</v>
      </c>
    </row>
    <row r="80" spans="1:11" s="120" customFormat="1" ht="24.75" customHeight="1">
      <c r="B80" s="313"/>
      <c r="C80" s="125" t="s">
        <v>230</v>
      </c>
      <c r="D80" s="125"/>
      <c r="E80" s="131">
        <v>4340.1000000000004</v>
      </c>
      <c r="F80" s="131">
        <v>5770.53</v>
      </c>
      <c r="G80" s="138">
        <v>1</v>
      </c>
      <c r="H80" s="271" t="s">
        <v>229</v>
      </c>
    </row>
    <row r="81" spans="2:8" ht="28.5" customHeight="1">
      <c r="B81" s="314"/>
      <c r="C81" s="96" t="s">
        <v>231</v>
      </c>
      <c r="D81" s="96"/>
      <c r="E81" s="131">
        <v>16781.72</v>
      </c>
      <c r="F81" s="131">
        <v>16653.41</v>
      </c>
      <c r="G81" s="138">
        <v>1</v>
      </c>
      <c r="H81" s="271" t="s">
        <v>229</v>
      </c>
    </row>
    <row r="82" spans="2:8" ht="29.25" customHeight="1">
      <c r="B82" s="89" t="s">
        <v>70</v>
      </c>
      <c r="C82" s="94"/>
      <c r="D82" s="94"/>
      <c r="E82" s="132">
        <f>SUM(E79:E81)</f>
        <v>83952.84</v>
      </c>
      <c r="F82" s="132">
        <f>SUM(F79:F81)</f>
        <v>85254.96</v>
      </c>
      <c r="G82" s="136">
        <f>SUM(G79:G81)</f>
        <v>3</v>
      </c>
      <c r="H82" s="124"/>
    </row>
    <row r="83" spans="2:8" ht="24" customHeight="1">
      <c r="B83" s="100" t="s">
        <v>89</v>
      </c>
      <c r="C83" s="96" t="s">
        <v>232</v>
      </c>
      <c r="D83" s="96"/>
      <c r="E83" s="131">
        <v>0</v>
      </c>
      <c r="F83" s="131">
        <v>1701.7</v>
      </c>
      <c r="G83" s="138">
        <v>1</v>
      </c>
      <c r="H83" s="124"/>
    </row>
    <row r="84" spans="2:8" ht="27" customHeight="1">
      <c r="B84" s="89" t="s">
        <v>70</v>
      </c>
      <c r="C84" s="94"/>
      <c r="D84" s="94"/>
      <c r="E84" s="133">
        <f>SUM(E83)</f>
        <v>0</v>
      </c>
      <c r="F84" s="133">
        <f>SUM(F83)</f>
        <v>1701.7</v>
      </c>
      <c r="G84" s="91">
        <f>SUM(G83)</f>
        <v>1</v>
      </c>
      <c r="H84" s="92"/>
    </row>
    <row r="85" spans="2:8" ht="35.4" customHeight="1">
      <c r="B85" s="100" t="s">
        <v>93</v>
      </c>
      <c r="C85" s="94"/>
      <c r="D85" s="94"/>
      <c r="E85" s="134">
        <v>0</v>
      </c>
      <c r="F85" s="134">
        <v>0</v>
      </c>
      <c r="G85" s="139">
        <v>0</v>
      </c>
      <c r="H85" s="140" t="s">
        <v>236</v>
      </c>
    </row>
    <row r="86" spans="2:8" ht="24.6" customHeight="1">
      <c r="B86" s="89" t="s">
        <v>70</v>
      </c>
      <c r="C86" s="94"/>
      <c r="D86" s="94"/>
      <c r="E86" s="133">
        <f>SUM(E85)</f>
        <v>0</v>
      </c>
      <c r="F86" s="133">
        <f>SUM(F85)</f>
        <v>0</v>
      </c>
      <c r="G86" s="141">
        <f>SUM(G85)</f>
        <v>0</v>
      </c>
      <c r="H86" s="92"/>
    </row>
    <row r="87" spans="2:8" ht="30.75" customHeight="1">
      <c r="B87" s="100" t="s">
        <v>96</v>
      </c>
      <c r="C87" s="97"/>
      <c r="D87" s="97"/>
      <c r="E87" s="106">
        <v>0</v>
      </c>
      <c r="F87" s="106">
        <v>0</v>
      </c>
      <c r="G87" s="139">
        <v>0</v>
      </c>
      <c r="H87" s="140" t="s">
        <v>236</v>
      </c>
    </row>
    <row r="88" spans="2:8" ht="30" customHeight="1">
      <c r="B88" s="89" t="s">
        <v>70</v>
      </c>
      <c r="C88" s="94"/>
      <c r="D88" s="94"/>
      <c r="E88" s="133">
        <f>SUM(E87)</f>
        <v>0</v>
      </c>
      <c r="F88" s="133">
        <f>SUM(F87)</f>
        <v>0</v>
      </c>
      <c r="G88" s="141">
        <f>SUM(G87)</f>
        <v>0</v>
      </c>
      <c r="H88" s="92"/>
    </row>
    <row r="89" spans="2:8" ht="17.25" customHeight="1">
      <c r="B89" s="308"/>
      <c r="C89" s="309"/>
      <c r="D89" s="309"/>
      <c r="E89" s="309"/>
      <c r="F89" s="309"/>
      <c r="G89" s="309"/>
      <c r="H89" s="310"/>
    </row>
    <row r="90" spans="2:8" ht="42.75" customHeight="1">
      <c r="B90" s="87" t="s">
        <v>160</v>
      </c>
      <c r="C90" s="94"/>
      <c r="D90" s="94"/>
      <c r="E90" s="137">
        <f>SUM(E51+E76+E82+E84+E86+E88)</f>
        <v>103221.07</v>
      </c>
      <c r="F90" s="137">
        <f>SUM(F51+F76+F82+F84+F86+F88)</f>
        <v>87525.46</v>
      </c>
      <c r="G90" s="126">
        <f>SUM(G51+G76+G82+G84+G86+G88)</f>
        <v>152</v>
      </c>
      <c r="H90" s="92"/>
    </row>
    <row r="91" spans="2:8">
      <c r="B91" s="79"/>
      <c r="C91" s="65"/>
      <c r="D91" s="65"/>
      <c r="E91" s="65"/>
      <c r="F91" s="65"/>
      <c r="G91" s="65"/>
    </row>
    <row r="92" spans="2:8">
      <c r="B92" s="79"/>
      <c r="C92" s="65"/>
      <c r="D92" s="65"/>
      <c r="E92" s="65"/>
      <c r="F92" s="65"/>
      <c r="G92" s="65"/>
    </row>
    <row r="93" spans="2:8">
      <c r="B93" s="98" t="s">
        <v>598</v>
      </c>
    </row>
    <row r="94" spans="2:8">
      <c r="B94" s="98"/>
    </row>
    <row r="95" spans="2:8">
      <c r="B95" s="99" t="s">
        <v>237</v>
      </c>
    </row>
    <row r="96" spans="2:8">
      <c r="B96" s="99" t="s">
        <v>233</v>
      </c>
    </row>
    <row r="97" spans="2:5">
      <c r="B97" s="99" t="s">
        <v>234</v>
      </c>
    </row>
    <row r="98" spans="2:5">
      <c r="B98" s="127"/>
    </row>
    <row r="99" spans="2:5">
      <c r="B99" t="s">
        <v>235</v>
      </c>
    </row>
    <row r="100" spans="2:5">
      <c r="B100" s="311"/>
      <c r="C100" s="311"/>
      <c r="D100" s="311"/>
      <c r="E100" s="311"/>
    </row>
    <row r="102" spans="2:5" ht="15.75" customHeight="1">
      <c r="B102" t="s">
        <v>163</v>
      </c>
    </row>
  </sheetData>
  <mergeCells count="115">
    <mergeCell ref="G74:G75"/>
    <mergeCell ref="B77:H77"/>
    <mergeCell ref="B89:H89"/>
    <mergeCell ref="B100:E100"/>
    <mergeCell ref="B79:B81"/>
    <mergeCell ref="G68:G69"/>
    <mergeCell ref="C70:C75"/>
    <mergeCell ref="D70:D71"/>
    <mergeCell ref="E70:E71"/>
    <mergeCell ref="G70:G71"/>
    <mergeCell ref="D72:D73"/>
    <mergeCell ref="E72:E73"/>
    <mergeCell ref="G72:G73"/>
    <mergeCell ref="D74:D75"/>
    <mergeCell ref="E74:E75"/>
    <mergeCell ref="B52:B75"/>
    <mergeCell ref="C64:C69"/>
    <mergeCell ref="D64:D65"/>
    <mergeCell ref="E64:E65"/>
    <mergeCell ref="G64:G65"/>
    <mergeCell ref="D66:D67"/>
    <mergeCell ref="E66:E67"/>
    <mergeCell ref="G66:G67"/>
    <mergeCell ref="D68:D69"/>
    <mergeCell ref="E68:E69"/>
    <mergeCell ref="G56:G57"/>
    <mergeCell ref="D58:D59"/>
    <mergeCell ref="E58:E59"/>
    <mergeCell ref="G58:G59"/>
    <mergeCell ref="C60:C63"/>
    <mergeCell ref="D60:D61"/>
    <mergeCell ref="E60:E61"/>
    <mergeCell ref="G60:G61"/>
    <mergeCell ref="D62:D63"/>
    <mergeCell ref="E62:E63"/>
    <mergeCell ref="C52:C59"/>
    <mergeCell ref="D52:D53"/>
    <mergeCell ref="E52:E53"/>
    <mergeCell ref="G52:G53"/>
    <mergeCell ref="D54:D55"/>
    <mergeCell ref="E54:E55"/>
    <mergeCell ref="G54:G55"/>
    <mergeCell ref="D56:D57"/>
    <mergeCell ref="E56:E57"/>
    <mergeCell ref="G62:G63"/>
    <mergeCell ref="C47:D47"/>
    <mergeCell ref="E47:E50"/>
    <mergeCell ref="G47:G50"/>
    <mergeCell ref="C48:D48"/>
    <mergeCell ref="C49:D49"/>
    <mergeCell ref="C50:D50"/>
    <mergeCell ref="C43:D43"/>
    <mergeCell ref="E43:E46"/>
    <mergeCell ref="G43:G46"/>
    <mergeCell ref="C44:D44"/>
    <mergeCell ref="C45:D45"/>
    <mergeCell ref="C46:D46"/>
    <mergeCell ref="C39:D39"/>
    <mergeCell ref="C40:D40"/>
    <mergeCell ref="E40:E42"/>
    <mergeCell ref="G40:G42"/>
    <mergeCell ref="C41:D41"/>
    <mergeCell ref="C42:D42"/>
    <mergeCell ref="C33:D33"/>
    <mergeCell ref="E33:E35"/>
    <mergeCell ref="G33:G35"/>
    <mergeCell ref="C34:D34"/>
    <mergeCell ref="C35:D35"/>
    <mergeCell ref="C36:D36"/>
    <mergeCell ref="E36:E39"/>
    <mergeCell ref="G36:G39"/>
    <mergeCell ref="C37:D37"/>
    <mergeCell ref="C38:D38"/>
    <mergeCell ref="C15:D15"/>
    <mergeCell ref="C16:D16"/>
    <mergeCell ref="C29:D29"/>
    <mergeCell ref="E29:E32"/>
    <mergeCell ref="G29:G32"/>
    <mergeCell ref="C30:D30"/>
    <mergeCell ref="C31:D31"/>
    <mergeCell ref="C32:D32"/>
    <mergeCell ref="C23:D23"/>
    <mergeCell ref="E23:E24"/>
    <mergeCell ref="G23:G24"/>
    <mergeCell ref="C24:D24"/>
    <mergeCell ref="C25:D25"/>
    <mergeCell ref="E25:E28"/>
    <mergeCell ref="G25:G28"/>
    <mergeCell ref="C26:D26"/>
    <mergeCell ref="C27:D27"/>
    <mergeCell ref="C28:D28"/>
    <mergeCell ref="B4:H4"/>
    <mergeCell ref="B5:H5"/>
    <mergeCell ref="B6:H6"/>
    <mergeCell ref="C7:D7"/>
    <mergeCell ref="B8:B50"/>
    <mergeCell ref="C8:D8"/>
    <mergeCell ref="E8:E12"/>
    <mergeCell ref="G8:G12"/>
    <mergeCell ref="C9:D9"/>
    <mergeCell ref="C10:D10"/>
    <mergeCell ref="C17:D17"/>
    <mergeCell ref="E17:E22"/>
    <mergeCell ref="G17:G22"/>
    <mergeCell ref="C18:D18"/>
    <mergeCell ref="C19:D19"/>
    <mergeCell ref="C20:D20"/>
    <mergeCell ref="C21:D21"/>
    <mergeCell ref="C22:D22"/>
    <mergeCell ref="C11:D11"/>
    <mergeCell ref="C12:D12"/>
    <mergeCell ref="C13:D13"/>
    <mergeCell ref="E13:E16"/>
    <mergeCell ref="G13:G16"/>
    <mergeCell ref="C14:D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B421-80FA-4AFF-8830-FBC842D84165}">
  <dimension ref="A3:F5"/>
  <sheetViews>
    <sheetView tabSelected="1" topLeftCell="B1" workbookViewId="0">
      <selection activeCell="D10" sqref="D10"/>
    </sheetView>
  </sheetViews>
  <sheetFormatPr defaultColWidth="12.44140625" defaultRowHeight="14.4"/>
  <cols>
    <col min="1" max="1" width="75.44140625" customWidth="1"/>
    <col min="2" max="2" width="41.33203125" customWidth="1"/>
    <col min="3" max="3" width="40.21875" customWidth="1"/>
    <col min="4" max="4" width="62.33203125" customWidth="1"/>
    <col min="6" max="6" width="78.44140625" customWidth="1"/>
  </cols>
  <sheetData>
    <row r="3" spans="1:6" ht="31.2">
      <c r="B3" s="1" t="s">
        <v>0</v>
      </c>
      <c r="C3" s="2" t="s">
        <v>1</v>
      </c>
      <c r="D3" s="2" t="s">
        <v>2</v>
      </c>
    </row>
    <row r="4" spans="1:6" ht="36">
      <c r="A4" s="3" t="s">
        <v>3</v>
      </c>
      <c r="B4" s="4">
        <v>701364.75</v>
      </c>
      <c r="C4" s="4">
        <v>375825.5</v>
      </c>
      <c r="D4" s="5">
        <v>3066</v>
      </c>
      <c r="E4" s="6"/>
      <c r="F4" s="7"/>
    </row>
    <row r="5" spans="1:6">
      <c r="D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1A937-944C-49D1-AEFF-54A51225558F}">
  <dimension ref="A1:J88"/>
  <sheetViews>
    <sheetView topLeftCell="A69" zoomScale="110" zoomScaleNormal="110" workbookViewId="0">
      <selection activeCell="F82" sqref="F82"/>
    </sheetView>
  </sheetViews>
  <sheetFormatPr defaultColWidth="9.33203125" defaultRowHeight="14.4"/>
  <cols>
    <col min="1" max="1" width="3.44140625" customWidth="1"/>
    <col min="2" max="2" width="37" customWidth="1"/>
    <col min="3" max="3" width="42.33203125" customWidth="1"/>
    <col min="4" max="4" width="16.6640625" customWidth="1"/>
    <col min="5" max="5" width="22.109375" customWidth="1"/>
    <col min="6" max="6" width="15.33203125" customWidth="1"/>
    <col min="7" max="7" width="34.44140625" customWidth="1"/>
    <col min="9" max="9" width="24.5546875" customWidth="1"/>
  </cols>
  <sheetData>
    <row r="1" spans="2:7" ht="30" customHeight="1">
      <c r="B1" s="142" t="s">
        <v>4</v>
      </c>
    </row>
    <row r="2" spans="2:7" ht="25.5" customHeight="1">
      <c r="B2" s="142" t="s">
        <v>5</v>
      </c>
      <c r="D2" s="143"/>
      <c r="E2" s="143"/>
    </row>
    <row r="3" spans="2:7" ht="12.75" customHeight="1">
      <c r="B3" s="142"/>
      <c r="D3" s="143"/>
      <c r="E3" s="143"/>
    </row>
    <row r="4" spans="2:7" ht="32.25" customHeight="1">
      <c r="B4" s="316" t="s">
        <v>239</v>
      </c>
      <c r="C4" s="316"/>
      <c r="D4" s="316"/>
      <c r="E4" s="316"/>
      <c r="F4" s="316"/>
      <c r="G4" s="316"/>
    </row>
    <row r="5" spans="2:7" ht="31.5" customHeight="1">
      <c r="B5" s="316" t="s">
        <v>240</v>
      </c>
      <c r="C5" s="316"/>
      <c r="D5" s="316"/>
      <c r="E5" s="316"/>
      <c r="F5" s="316"/>
      <c r="G5" s="316"/>
    </row>
    <row r="6" spans="2:7" ht="26.25" customHeight="1">
      <c r="B6" s="317" t="s">
        <v>8</v>
      </c>
      <c r="C6" s="317"/>
      <c r="D6" s="317"/>
      <c r="E6" s="317"/>
      <c r="F6" s="317"/>
      <c r="G6" s="317"/>
    </row>
    <row r="7" spans="2:7" ht="55.5" customHeight="1">
      <c r="B7" s="144" t="s">
        <v>9</v>
      </c>
      <c r="D7" s="145" t="s">
        <v>11</v>
      </c>
      <c r="E7" s="145" t="s">
        <v>12</v>
      </c>
      <c r="F7" s="145" t="s">
        <v>2</v>
      </c>
      <c r="G7" s="146" t="s">
        <v>13</v>
      </c>
    </row>
    <row r="8" spans="2:7">
      <c r="B8" s="318" t="s">
        <v>14</v>
      </c>
      <c r="C8" s="73" t="s">
        <v>241</v>
      </c>
      <c r="D8" s="106">
        <v>4785.75</v>
      </c>
      <c r="E8" s="165">
        <v>3.75</v>
      </c>
      <c r="F8" s="108">
        <v>14</v>
      </c>
      <c r="G8" s="146"/>
    </row>
    <row r="9" spans="2:7">
      <c r="B9" s="318"/>
      <c r="C9" s="73" t="s">
        <v>241</v>
      </c>
      <c r="D9" s="106">
        <v>1463.75</v>
      </c>
      <c r="E9" s="165">
        <v>12.5</v>
      </c>
      <c r="F9" s="108">
        <v>3</v>
      </c>
      <c r="G9" s="146"/>
    </row>
    <row r="10" spans="2:7">
      <c r="B10" s="318"/>
      <c r="C10" s="73" t="s">
        <v>242</v>
      </c>
      <c r="D10" s="106">
        <v>477.76</v>
      </c>
      <c r="E10" s="165">
        <v>3.75</v>
      </c>
      <c r="F10" s="108">
        <v>4</v>
      </c>
      <c r="G10" s="146"/>
    </row>
    <row r="11" spans="2:7">
      <c r="B11" s="318"/>
      <c r="C11" s="73" t="s">
        <v>243</v>
      </c>
      <c r="D11" s="106">
        <v>434.81</v>
      </c>
      <c r="E11" s="165">
        <v>3.75</v>
      </c>
      <c r="F11" s="108">
        <v>4</v>
      </c>
      <c r="G11" s="146"/>
    </row>
    <row r="12" spans="2:7" ht="28.8">
      <c r="B12" s="318"/>
      <c r="C12" s="73" t="s">
        <v>244</v>
      </c>
      <c r="D12" s="106">
        <v>4434.4799999999996</v>
      </c>
      <c r="E12" s="165">
        <v>3.75</v>
      </c>
      <c r="F12" s="108">
        <v>14</v>
      </c>
      <c r="G12" s="146"/>
    </row>
    <row r="13" spans="2:7" ht="28.05" customHeight="1">
      <c r="B13" s="318"/>
      <c r="C13" s="73" t="s">
        <v>245</v>
      </c>
      <c r="D13" s="106">
        <v>352.32</v>
      </c>
      <c r="E13" s="165">
        <v>3.75</v>
      </c>
      <c r="F13" s="108">
        <v>1</v>
      </c>
      <c r="G13" s="146"/>
    </row>
    <row r="14" spans="2:7" ht="28.8">
      <c r="B14" s="318"/>
      <c r="C14" s="73" t="s">
        <v>246</v>
      </c>
      <c r="D14" s="106">
        <v>2143.5</v>
      </c>
      <c r="E14" s="165">
        <v>3.75</v>
      </c>
      <c r="F14" s="108">
        <v>3</v>
      </c>
      <c r="G14" s="146"/>
    </row>
    <row r="15" spans="2:7" ht="28.8">
      <c r="B15" s="318"/>
      <c r="C15" s="73" t="s">
        <v>247</v>
      </c>
      <c r="D15" s="106">
        <v>1370.52</v>
      </c>
      <c r="E15" s="165">
        <v>2.7</v>
      </c>
      <c r="F15" s="108">
        <v>3</v>
      </c>
      <c r="G15" s="146"/>
    </row>
    <row r="16" spans="2:7" ht="28.8">
      <c r="B16" s="318"/>
      <c r="C16" s="73" t="s">
        <v>248</v>
      </c>
      <c r="D16" s="106">
        <v>709.56</v>
      </c>
      <c r="E16" s="165">
        <v>2.7</v>
      </c>
      <c r="F16" s="108">
        <v>3</v>
      </c>
      <c r="G16" s="146"/>
    </row>
    <row r="17" spans="2:7" ht="27.15" customHeight="1">
      <c r="B17" s="318"/>
      <c r="C17" s="73" t="s">
        <v>249</v>
      </c>
      <c r="D17" s="106">
        <v>990.36</v>
      </c>
      <c r="E17" s="165">
        <v>2.7</v>
      </c>
      <c r="F17" s="108">
        <v>2</v>
      </c>
      <c r="G17" s="146"/>
    </row>
    <row r="18" spans="2:7">
      <c r="B18" s="318"/>
      <c r="C18" s="73" t="s">
        <v>250</v>
      </c>
      <c r="D18" s="106">
        <v>0</v>
      </c>
      <c r="E18" s="165">
        <v>2.7</v>
      </c>
      <c r="F18" s="108">
        <v>0</v>
      </c>
      <c r="G18" s="171" t="s">
        <v>236</v>
      </c>
    </row>
    <row r="19" spans="2:7">
      <c r="B19" s="318"/>
      <c r="C19" s="73" t="s">
        <v>251</v>
      </c>
      <c r="D19" s="106">
        <v>1985.58</v>
      </c>
      <c r="E19" s="165">
        <v>2.7</v>
      </c>
      <c r="F19" s="108">
        <v>15</v>
      </c>
      <c r="G19" s="146"/>
    </row>
    <row r="20" spans="2:7">
      <c r="B20" s="318"/>
      <c r="C20" s="73" t="s">
        <v>252</v>
      </c>
      <c r="D20" s="106">
        <v>11066.22</v>
      </c>
      <c r="E20" s="165">
        <v>2.7</v>
      </c>
      <c r="F20" s="108">
        <v>4</v>
      </c>
      <c r="G20" s="146"/>
    </row>
    <row r="21" spans="2:7">
      <c r="B21" s="318"/>
      <c r="C21" s="73" t="s">
        <v>253</v>
      </c>
      <c r="D21" s="106">
        <v>3611.63</v>
      </c>
      <c r="E21" s="165">
        <v>3.75</v>
      </c>
      <c r="F21" s="108">
        <v>6</v>
      </c>
      <c r="G21" s="146"/>
    </row>
    <row r="22" spans="2:7">
      <c r="B22" s="318"/>
      <c r="C22" s="73" t="s">
        <v>254</v>
      </c>
      <c r="D22" s="106">
        <v>0</v>
      </c>
      <c r="E22" s="165">
        <v>2.7</v>
      </c>
      <c r="F22" s="108">
        <v>0</v>
      </c>
      <c r="G22" s="171" t="s">
        <v>236</v>
      </c>
    </row>
    <row r="23" spans="2:7">
      <c r="B23" s="318"/>
      <c r="C23" s="73" t="s">
        <v>255</v>
      </c>
      <c r="D23" s="106">
        <v>50.4</v>
      </c>
      <c r="E23" s="165">
        <v>4.2</v>
      </c>
      <c r="F23" s="108">
        <v>1</v>
      </c>
      <c r="G23" s="146"/>
    </row>
    <row r="24" spans="2:7">
      <c r="B24" s="318"/>
      <c r="C24" s="73" t="s">
        <v>256</v>
      </c>
      <c r="D24" s="106">
        <v>5543.16</v>
      </c>
      <c r="E24" s="165">
        <v>4.2</v>
      </c>
      <c r="F24" s="108">
        <v>5</v>
      </c>
      <c r="G24" s="146"/>
    </row>
    <row r="25" spans="2:7">
      <c r="B25" s="318"/>
      <c r="C25" s="73" t="s">
        <v>257</v>
      </c>
      <c r="D25" s="106">
        <v>0</v>
      </c>
      <c r="E25" s="165">
        <v>2.7</v>
      </c>
      <c r="F25" s="108">
        <v>0</v>
      </c>
      <c r="G25" s="171" t="s">
        <v>236</v>
      </c>
    </row>
    <row r="26" spans="2:7">
      <c r="B26" s="318"/>
      <c r="C26" s="73" t="s">
        <v>258</v>
      </c>
      <c r="D26" s="106">
        <v>2924.63</v>
      </c>
      <c r="E26" s="165">
        <v>3.75</v>
      </c>
      <c r="F26" s="108">
        <v>7</v>
      </c>
      <c r="G26" s="146"/>
    </row>
    <row r="27" spans="2:7">
      <c r="B27" s="318"/>
      <c r="C27" s="73" t="s">
        <v>259</v>
      </c>
      <c r="D27" s="106">
        <v>0</v>
      </c>
      <c r="E27" s="165">
        <v>3.75</v>
      </c>
      <c r="F27" s="108">
        <v>0</v>
      </c>
      <c r="G27" s="171" t="s">
        <v>236</v>
      </c>
    </row>
    <row r="28" spans="2:7">
      <c r="B28" s="318"/>
      <c r="C28" s="73" t="s">
        <v>260</v>
      </c>
      <c r="D28" s="106">
        <v>12.6</v>
      </c>
      <c r="E28" s="165">
        <v>4.2</v>
      </c>
      <c r="F28" s="108">
        <v>1</v>
      </c>
      <c r="G28" s="146"/>
    </row>
    <row r="29" spans="2:7">
      <c r="B29" s="318"/>
      <c r="C29" s="73" t="s">
        <v>261</v>
      </c>
      <c r="D29" s="106">
        <v>2237.7600000000002</v>
      </c>
      <c r="E29" s="165">
        <v>4.2</v>
      </c>
      <c r="F29" s="108">
        <v>3</v>
      </c>
      <c r="G29" s="146"/>
    </row>
    <row r="30" spans="2:7">
      <c r="B30" s="318"/>
      <c r="C30" s="73" t="s">
        <v>262</v>
      </c>
      <c r="D30" s="106">
        <v>0</v>
      </c>
      <c r="E30" s="165">
        <v>3.75</v>
      </c>
      <c r="F30" s="108">
        <v>0</v>
      </c>
      <c r="G30" s="171" t="s">
        <v>236</v>
      </c>
    </row>
    <row r="31" spans="2:7">
      <c r="B31" s="318"/>
      <c r="C31" s="73" t="s">
        <v>263</v>
      </c>
      <c r="D31" s="106">
        <v>0</v>
      </c>
      <c r="E31" s="165">
        <v>2.7</v>
      </c>
      <c r="F31" s="108">
        <v>0</v>
      </c>
      <c r="G31" s="171" t="s">
        <v>236</v>
      </c>
    </row>
    <row r="32" spans="2:7" ht="28.8">
      <c r="B32" s="318"/>
      <c r="C32" s="73" t="s">
        <v>264</v>
      </c>
      <c r="D32" s="106">
        <v>0</v>
      </c>
      <c r="E32" s="165">
        <v>2.7</v>
      </c>
      <c r="F32" s="108">
        <v>1</v>
      </c>
      <c r="G32" s="146"/>
    </row>
    <row r="33" spans="2:7">
      <c r="B33" s="318"/>
      <c r="C33" s="73" t="s">
        <v>265</v>
      </c>
      <c r="D33" s="106">
        <v>4559.8100000000004</v>
      </c>
      <c r="E33" s="165">
        <v>3.75</v>
      </c>
      <c r="F33" s="108">
        <v>9</v>
      </c>
      <c r="G33" s="146"/>
    </row>
    <row r="34" spans="2:7">
      <c r="B34" s="318"/>
      <c r="C34" s="73" t="s">
        <v>266</v>
      </c>
      <c r="D34" s="106">
        <v>9426.99</v>
      </c>
      <c r="E34" s="165">
        <v>4.2</v>
      </c>
      <c r="F34" s="108">
        <v>20</v>
      </c>
      <c r="G34" s="146"/>
    </row>
    <row r="35" spans="2:7">
      <c r="B35" s="318"/>
      <c r="C35" s="73" t="s">
        <v>267</v>
      </c>
      <c r="D35" s="106">
        <v>1462.51</v>
      </c>
      <c r="E35" s="165">
        <v>3.75</v>
      </c>
      <c r="F35" s="108">
        <v>7</v>
      </c>
      <c r="G35" s="146"/>
    </row>
    <row r="36" spans="2:7">
      <c r="B36" s="318"/>
      <c r="C36" s="73" t="s">
        <v>268</v>
      </c>
      <c r="D36" s="106">
        <v>0</v>
      </c>
      <c r="E36" s="165">
        <v>2.7</v>
      </c>
      <c r="F36" s="108">
        <v>0</v>
      </c>
      <c r="G36" s="171" t="s">
        <v>236</v>
      </c>
    </row>
    <row r="37" spans="2:7">
      <c r="B37" s="318"/>
      <c r="C37" s="73" t="s">
        <v>269</v>
      </c>
      <c r="D37" s="106">
        <v>4990.3100000000004</v>
      </c>
      <c r="E37" s="165">
        <v>3.75</v>
      </c>
      <c r="F37" s="108">
        <v>12</v>
      </c>
      <c r="G37" s="146"/>
    </row>
    <row r="38" spans="2:7">
      <c r="B38" s="318"/>
      <c r="C38" s="73" t="s">
        <v>270</v>
      </c>
      <c r="D38" s="106">
        <v>0</v>
      </c>
      <c r="E38" s="165">
        <v>2.7</v>
      </c>
      <c r="F38" s="108">
        <v>0</v>
      </c>
      <c r="G38" s="171" t="s">
        <v>236</v>
      </c>
    </row>
    <row r="39" spans="2:7">
      <c r="B39" s="318"/>
      <c r="C39" s="73" t="s">
        <v>271</v>
      </c>
      <c r="D39" s="106">
        <v>0</v>
      </c>
      <c r="E39" s="165">
        <v>2.7</v>
      </c>
      <c r="F39" s="108">
        <v>0</v>
      </c>
      <c r="G39" s="171" t="s">
        <v>236</v>
      </c>
    </row>
    <row r="40" spans="2:7" ht="28.8">
      <c r="B40" s="318"/>
      <c r="C40" s="73" t="s">
        <v>272</v>
      </c>
      <c r="D40" s="106">
        <v>4801.03</v>
      </c>
      <c r="E40" s="165">
        <v>3.75</v>
      </c>
      <c r="F40" s="108">
        <v>7</v>
      </c>
      <c r="G40" s="146"/>
    </row>
    <row r="41" spans="2:7" ht="28.8">
      <c r="B41" s="318"/>
      <c r="C41" s="73" t="s">
        <v>273</v>
      </c>
      <c r="D41" s="106">
        <v>9152.2199999999993</v>
      </c>
      <c r="E41" s="165">
        <v>4.2</v>
      </c>
      <c r="F41" s="108">
        <v>12</v>
      </c>
      <c r="G41" s="146"/>
    </row>
    <row r="42" spans="2:7" ht="28.8">
      <c r="B42" s="318"/>
      <c r="C42" s="73" t="s">
        <v>274</v>
      </c>
      <c r="D42" s="106">
        <v>5465.04</v>
      </c>
      <c r="E42" s="165">
        <v>4.2</v>
      </c>
      <c r="F42" s="108">
        <v>14</v>
      </c>
      <c r="G42" s="146"/>
    </row>
    <row r="43" spans="2:7" ht="28.8">
      <c r="B43" s="318"/>
      <c r="C43" s="73" t="s">
        <v>275</v>
      </c>
      <c r="D43" s="106">
        <v>4873.26</v>
      </c>
      <c r="E43" s="165">
        <v>4.2</v>
      </c>
      <c r="F43" s="108">
        <v>13</v>
      </c>
      <c r="G43" s="146"/>
    </row>
    <row r="44" spans="2:7" ht="28.8">
      <c r="B44" s="318"/>
      <c r="C44" s="73" t="s">
        <v>276</v>
      </c>
      <c r="D44" s="106">
        <v>497.25</v>
      </c>
      <c r="E44" s="165">
        <v>3.75</v>
      </c>
      <c r="F44" s="108">
        <v>4</v>
      </c>
      <c r="G44" s="146"/>
    </row>
    <row r="45" spans="2:7" ht="28.8">
      <c r="B45" s="318"/>
      <c r="C45" s="73" t="s">
        <v>277</v>
      </c>
      <c r="D45" s="106">
        <v>2450.06</v>
      </c>
      <c r="E45" s="165">
        <v>3.75</v>
      </c>
      <c r="F45" s="108">
        <v>12</v>
      </c>
      <c r="G45" s="146"/>
    </row>
    <row r="46" spans="2:7">
      <c r="B46" s="318"/>
      <c r="C46" s="73" t="s">
        <v>278</v>
      </c>
      <c r="D46" s="106">
        <v>506.79</v>
      </c>
      <c r="E46" s="165">
        <v>2.7</v>
      </c>
      <c r="F46" s="108">
        <v>9</v>
      </c>
      <c r="G46" s="146"/>
    </row>
    <row r="47" spans="2:7">
      <c r="B47" s="318"/>
      <c r="C47" s="73" t="s">
        <v>279</v>
      </c>
      <c r="D47" s="106">
        <v>479.52</v>
      </c>
      <c r="E47" s="165">
        <v>2.7</v>
      </c>
      <c r="F47" s="108">
        <v>4</v>
      </c>
      <c r="G47" s="146"/>
    </row>
    <row r="48" spans="2:7">
      <c r="B48" s="318"/>
      <c r="C48" s="73" t="s">
        <v>280</v>
      </c>
      <c r="D48" s="106">
        <v>166.86</v>
      </c>
      <c r="E48" s="165">
        <v>2.7</v>
      </c>
      <c r="F48" s="108">
        <v>5</v>
      </c>
      <c r="G48" s="146"/>
    </row>
    <row r="49" spans="1:10">
      <c r="B49" s="318"/>
      <c r="C49" s="73" t="s">
        <v>280</v>
      </c>
      <c r="D49" s="106">
        <v>108</v>
      </c>
      <c r="E49" s="165">
        <v>9</v>
      </c>
      <c r="F49" s="108">
        <v>1</v>
      </c>
      <c r="G49" s="146"/>
    </row>
    <row r="50" spans="1:10">
      <c r="B50" s="318"/>
      <c r="C50" s="73" t="s">
        <v>281</v>
      </c>
      <c r="D50" s="106">
        <v>768.01</v>
      </c>
      <c r="E50" s="165">
        <v>3.75</v>
      </c>
      <c r="F50" s="108">
        <v>8</v>
      </c>
      <c r="G50" s="147"/>
    </row>
    <row r="51" spans="1:10">
      <c r="B51" s="318"/>
      <c r="C51" s="73" t="s">
        <v>282</v>
      </c>
      <c r="D51" s="106">
        <v>545.25</v>
      </c>
      <c r="E51" s="165">
        <v>3.75</v>
      </c>
      <c r="F51" s="108">
        <v>6</v>
      </c>
      <c r="G51" s="148"/>
    </row>
    <row r="52" spans="1:10">
      <c r="B52" s="149" t="s">
        <v>70</v>
      </c>
      <c r="C52" s="73"/>
      <c r="D52" s="166">
        <f>SUM(D8:D51)</f>
        <v>94847.699999999983</v>
      </c>
      <c r="E52" s="166">
        <f>SUM(E8:E51)</f>
        <v>165.8</v>
      </c>
      <c r="F52" s="170">
        <f>SUM(F8:F51)</f>
        <v>237</v>
      </c>
      <c r="G52" s="148"/>
    </row>
    <row r="53" spans="1:10" ht="15" customHeight="1">
      <c r="B53" s="319" t="s">
        <v>71</v>
      </c>
      <c r="C53" s="73" t="s">
        <v>283</v>
      </c>
      <c r="D53" s="106">
        <v>0</v>
      </c>
      <c r="E53" s="106">
        <v>0</v>
      </c>
      <c r="F53" s="108">
        <v>1</v>
      </c>
      <c r="G53" s="176" t="s">
        <v>164</v>
      </c>
    </row>
    <row r="54" spans="1:10" ht="15" customHeight="1">
      <c r="B54" s="319"/>
      <c r="C54" s="73" t="s">
        <v>283</v>
      </c>
      <c r="D54" s="106">
        <v>84.2</v>
      </c>
      <c r="E54" s="165">
        <v>4.21</v>
      </c>
      <c r="F54" s="108">
        <v>1</v>
      </c>
      <c r="G54" s="177"/>
    </row>
    <row r="55" spans="1:10">
      <c r="B55" s="319"/>
      <c r="C55" s="73" t="s">
        <v>283</v>
      </c>
      <c r="D55" s="106">
        <v>75</v>
      </c>
      <c r="E55" s="165">
        <v>9.25</v>
      </c>
      <c r="F55" s="108">
        <v>1</v>
      </c>
      <c r="G55" s="177"/>
    </row>
    <row r="56" spans="1:10">
      <c r="B56" s="319"/>
      <c r="C56" s="73" t="s">
        <v>284</v>
      </c>
      <c r="D56" s="106">
        <v>0</v>
      </c>
      <c r="E56" s="165">
        <v>0</v>
      </c>
      <c r="F56" s="108">
        <v>1</v>
      </c>
      <c r="G56" s="176" t="s">
        <v>164</v>
      </c>
      <c r="H56" s="150"/>
      <c r="I56" s="150"/>
      <c r="J56" s="150"/>
    </row>
    <row r="57" spans="1:10">
      <c r="B57" s="319"/>
      <c r="C57" s="73" t="s">
        <v>284</v>
      </c>
      <c r="D57" s="106">
        <v>136</v>
      </c>
      <c r="E57" s="165">
        <v>4</v>
      </c>
      <c r="F57" s="108">
        <v>1</v>
      </c>
      <c r="G57" s="177"/>
      <c r="H57" s="150"/>
      <c r="I57" s="150"/>
      <c r="J57" s="150"/>
    </row>
    <row r="58" spans="1:10">
      <c r="B58" s="319"/>
      <c r="C58" s="73" t="s">
        <v>285</v>
      </c>
      <c r="D58" s="106">
        <v>0</v>
      </c>
      <c r="E58" s="165">
        <v>9.25</v>
      </c>
      <c r="F58" s="108">
        <v>0</v>
      </c>
      <c r="G58" s="171" t="s">
        <v>236</v>
      </c>
      <c r="H58" s="150"/>
      <c r="I58" s="150"/>
      <c r="J58" s="150"/>
    </row>
    <row r="59" spans="1:10">
      <c r="B59" s="151" t="s">
        <v>70</v>
      </c>
      <c r="C59" s="151"/>
      <c r="D59" s="166">
        <f>SUM(D53:D58)</f>
        <v>295.2</v>
      </c>
      <c r="E59" s="166">
        <f>SUM(E53:E58)</f>
        <v>26.71</v>
      </c>
      <c r="F59" s="174">
        <f>SUM(F53:F58)</f>
        <v>5</v>
      </c>
      <c r="G59" s="148"/>
      <c r="H59" s="150"/>
      <c r="I59" s="150"/>
      <c r="J59" s="150"/>
    </row>
    <row r="60" spans="1:10" ht="31.5" customHeight="1">
      <c r="B60" s="320" t="s">
        <v>77</v>
      </c>
      <c r="C60" s="320"/>
      <c r="D60" s="320"/>
      <c r="E60" s="320"/>
      <c r="F60" s="320"/>
      <c r="G60" s="320"/>
    </row>
    <row r="61" spans="1:10" ht="53.25" customHeight="1">
      <c r="A61" s="8"/>
      <c r="B61" s="145" t="s">
        <v>9</v>
      </c>
      <c r="C61" s="145" t="s">
        <v>78</v>
      </c>
      <c r="D61" s="145" t="s">
        <v>11</v>
      </c>
      <c r="E61" s="145" t="s">
        <v>79</v>
      </c>
      <c r="F61" s="145" t="s">
        <v>2</v>
      </c>
      <c r="G61" s="146" t="s">
        <v>80</v>
      </c>
    </row>
    <row r="62" spans="1:10" ht="28.8">
      <c r="B62" s="100" t="s">
        <v>81</v>
      </c>
      <c r="C62" s="152"/>
      <c r="D62" s="106">
        <v>0</v>
      </c>
      <c r="E62" s="106">
        <v>0</v>
      </c>
      <c r="F62" s="154">
        <v>0</v>
      </c>
      <c r="G62" s="171" t="s">
        <v>236</v>
      </c>
    </row>
    <row r="63" spans="1:10" ht="15.6">
      <c r="B63" s="155" t="s">
        <v>70</v>
      </c>
      <c r="C63" s="156"/>
      <c r="D63" s="166">
        <f>SUM(D62)</f>
        <v>0</v>
      </c>
      <c r="E63" s="166">
        <f>SUM(E62)</f>
        <v>0</v>
      </c>
      <c r="F63" s="174">
        <f>SUM(F62)</f>
        <v>0</v>
      </c>
      <c r="G63" s="92"/>
    </row>
    <row r="64" spans="1:10">
      <c r="B64" s="100" t="s">
        <v>82</v>
      </c>
      <c r="C64" s="152"/>
      <c r="D64" s="106">
        <v>1884.05</v>
      </c>
      <c r="E64" s="153">
        <v>2135.65</v>
      </c>
      <c r="F64" s="154">
        <v>51</v>
      </c>
      <c r="G64" s="92"/>
    </row>
    <row r="65" spans="2:9" ht="15.6">
      <c r="B65" s="155" t="s">
        <v>70</v>
      </c>
      <c r="C65" s="156"/>
      <c r="D65" s="166">
        <f>SUM(D64)</f>
        <v>1884.05</v>
      </c>
      <c r="E65" s="157">
        <f>SUM(E64)</f>
        <v>2135.65</v>
      </c>
      <c r="F65" s="174">
        <f>SUM(F64)</f>
        <v>51</v>
      </c>
      <c r="G65" s="92"/>
    </row>
    <row r="66" spans="2:9">
      <c r="B66" s="100" t="s">
        <v>89</v>
      </c>
      <c r="C66" s="152"/>
      <c r="D66" s="106">
        <v>0</v>
      </c>
      <c r="E66" s="106">
        <v>0</v>
      </c>
      <c r="F66" s="172">
        <v>0</v>
      </c>
      <c r="G66" s="171" t="s">
        <v>236</v>
      </c>
    </row>
    <row r="67" spans="2:9" ht="15.6">
      <c r="B67" s="155" t="s">
        <v>70</v>
      </c>
      <c r="C67" s="156"/>
      <c r="D67" s="166">
        <f>SUM(D66)</f>
        <v>0</v>
      </c>
      <c r="E67" s="166">
        <f>SUM(E66)</f>
        <v>0</v>
      </c>
      <c r="F67" s="174">
        <f>SUM(F66)</f>
        <v>0</v>
      </c>
      <c r="G67" s="92"/>
    </row>
    <row r="68" spans="2:9" ht="46.8">
      <c r="B68" s="312" t="s">
        <v>93</v>
      </c>
      <c r="C68" s="158" t="s">
        <v>286</v>
      </c>
      <c r="D68" s="167">
        <v>6573.06</v>
      </c>
      <c r="E68" s="168">
        <v>13146.15</v>
      </c>
      <c r="F68" s="159">
        <v>1</v>
      </c>
      <c r="G68" s="160"/>
      <c r="I68" s="161"/>
    </row>
    <row r="69" spans="2:9" ht="43.2">
      <c r="B69" s="313"/>
      <c r="C69" s="158" t="s">
        <v>287</v>
      </c>
      <c r="D69" s="167">
        <v>0</v>
      </c>
      <c r="E69" s="168">
        <v>13120</v>
      </c>
      <c r="F69" s="159">
        <v>1</v>
      </c>
      <c r="G69" s="80" t="s">
        <v>288</v>
      </c>
      <c r="I69" s="161"/>
    </row>
    <row r="70" spans="2:9" ht="57.6">
      <c r="B70" s="313"/>
      <c r="C70" s="158" t="s">
        <v>289</v>
      </c>
      <c r="D70" s="167">
        <v>2127.33</v>
      </c>
      <c r="E70" s="168">
        <v>5100</v>
      </c>
      <c r="F70" s="159">
        <v>1</v>
      </c>
      <c r="G70" s="80" t="s">
        <v>290</v>
      </c>
      <c r="I70" s="161"/>
    </row>
    <row r="71" spans="2:9" ht="31.2">
      <c r="B71" s="313"/>
      <c r="C71" s="158" t="s">
        <v>291</v>
      </c>
      <c r="D71" s="167">
        <v>0</v>
      </c>
      <c r="E71" s="168">
        <v>9150</v>
      </c>
      <c r="F71" s="159">
        <v>1</v>
      </c>
      <c r="G71" s="92"/>
      <c r="I71" s="161"/>
    </row>
    <row r="72" spans="2:9" ht="46.8">
      <c r="B72" s="314"/>
      <c r="C72" s="158" t="s">
        <v>292</v>
      </c>
      <c r="D72" s="167">
        <v>0</v>
      </c>
      <c r="E72" s="168">
        <f>1738.5</f>
        <v>1738.5</v>
      </c>
      <c r="F72" s="159">
        <v>1</v>
      </c>
      <c r="G72" s="80" t="s">
        <v>288</v>
      </c>
      <c r="I72" s="161"/>
    </row>
    <row r="73" spans="2:9" ht="15.6">
      <c r="B73" s="155" t="s">
        <v>70</v>
      </c>
      <c r="C73" s="156"/>
      <c r="D73" s="166">
        <f>SUM(D68:D72)</f>
        <v>8700.39</v>
      </c>
      <c r="E73" s="166">
        <f>SUM(E68:E72)</f>
        <v>42254.65</v>
      </c>
      <c r="F73" s="174">
        <f>SUM(F68:F72)</f>
        <v>5</v>
      </c>
      <c r="G73" s="92"/>
    </row>
    <row r="74" spans="2:9">
      <c r="B74" s="100" t="s">
        <v>96</v>
      </c>
      <c r="C74" s="162"/>
      <c r="D74" s="106">
        <v>0</v>
      </c>
      <c r="E74" s="106">
        <v>0</v>
      </c>
      <c r="F74" s="154">
        <v>0</v>
      </c>
      <c r="G74" s="171" t="s">
        <v>236</v>
      </c>
    </row>
    <row r="75" spans="2:9" ht="15.6">
      <c r="B75" s="155" t="s">
        <v>70</v>
      </c>
      <c r="C75" s="156"/>
      <c r="D75" s="166">
        <f>SUM(D74)</f>
        <v>0</v>
      </c>
      <c r="E75" s="166">
        <f>SUM(E74)</f>
        <v>0</v>
      </c>
      <c r="F75" s="174">
        <f>SUM(F74)</f>
        <v>0</v>
      </c>
      <c r="G75" s="92"/>
    </row>
    <row r="76" spans="2:9" ht="15.6">
      <c r="B76" s="315"/>
      <c r="C76" s="315"/>
      <c r="D76" s="315"/>
      <c r="E76" s="315"/>
      <c r="F76" s="315"/>
      <c r="G76" s="315"/>
    </row>
    <row r="77" spans="2:9" ht="44.4">
      <c r="B77" s="155" t="s">
        <v>293</v>
      </c>
      <c r="C77" s="156"/>
      <c r="D77" s="169">
        <f>D75+D73+D67+D65+D63+D59+D52</f>
        <v>105727.33999999998</v>
      </c>
      <c r="E77" s="272">
        <f>E75+E73+E67+E65+E63+E59+E52</f>
        <v>44582.810000000005</v>
      </c>
      <c r="F77" s="175">
        <f>F75+F73+F67+F65+F63+F59+F52</f>
        <v>298</v>
      </c>
      <c r="G77" s="92"/>
    </row>
    <row r="78" spans="2:9" ht="15.6">
      <c r="B78" s="178"/>
      <c r="C78" s="179"/>
      <c r="D78" s="180"/>
      <c r="E78" s="180"/>
      <c r="F78" s="181"/>
    </row>
    <row r="79" spans="2:9">
      <c r="B79" s="163" t="s">
        <v>598</v>
      </c>
    </row>
    <row r="80" spans="2:9">
      <c r="B80" s="163"/>
    </row>
    <row r="81" spans="2:2">
      <c r="B81" t="s">
        <v>294</v>
      </c>
    </row>
    <row r="82" spans="2:2">
      <c r="B82" t="s">
        <v>295</v>
      </c>
    </row>
    <row r="83" spans="2:2">
      <c r="B83" t="s">
        <v>296</v>
      </c>
    </row>
    <row r="85" spans="2:2">
      <c r="B85" t="s">
        <v>235</v>
      </c>
    </row>
    <row r="87" spans="2:2">
      <c r="B87" t="s">
        <v>163</v>
      </c>
    </row>
    <row r="88" spans="2:2" ht="15.75" customHeight="1"/>
  </sheetData>
  <mergeCells count="8">
    <mergeCell ref="B76:G76"/>
    <mergeCell ref="B68:B72"/>
    <mergeCell ref="B4:G4"/>
    <mergeCell ref="B5:G5"/>
    <mergeCell ref="B6:G6"/>
    <mergeCell ref="B8:B51"/>
    <mergeCell ref="B53:B58"/>
    <mergeCell ref="B60:G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48EE-5EDA-4605-8475-4E35743A9C4D}">
  <dimension ref="A1:J83"/>
  <sheetViews>
    <sheetView topLeftCell="A62" workbookViewId="0">
      <selection activeCell="E81" sqref="E81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2:7" ht="30" customHeight="1">
      <c r="B1" s="68" t="s">
        <v>4</v>
      </c>
    </row>
    <row r="2" spans="2:7" ht="25.5" customHeight="1">
      <c r="B2" s="68" t="s">
        <v>5</v>
      </c>
      <c r="D2" s="115"/>
      <c r="E2" s="115"/>
    </row>
    <row r="3" spans="2:7" ht="12.75" customHeight="1">
      <c r="B3" s="68"/>
      <c r="D3" s="115"/>
      <c r="E3" s="115"/>
    </row>
    <row r="4" spans="2:7" ht="32.25" customHeight="1">
      <c r="B4" s="274" t="s">
        <v>297</v>
      </c>
      <c r="C4" s="274"/>
      <c r="D4" s="274"/>
      <c r="E4" s="274"/>
      <c r="F4" s="274"/>
      <c r="G4" s="274"/>
    </row>
    <row r="5" spans="2:7" ht="31.5" customHeight="1">
      <c r="B5" s="274" t="s">
        <v>298</v>
      </c>
      <c r="C5" s="274"/>
      <c r="D5" s="274"/>
      <c r="E5" s="274"/>
      <c r="F5" s="274"/>
      <c r="G5" s="274"/>
    </row>
    <row r="6" spans="2:7" ht="26.25" customHeight="1">
      <c r="B6" s="275" t="s">
        <v>8</v>
      </c>
      <c r="C6" s="275"/>
      <c r="D6" s="275"/>
      <c r="E6" s="275"/>
      <c r="F6" s="275"/>
      <c r="G6" s="275"/>
    </row>
    <row r="7" spans="2:7" ht="55.5" customHeight="1">
      <c r="B7" s="116" t="s">
        <v>9</v>
      </c>
      <c r="C7" s="117" t="s">
        <v>10</v>
      </c>
      <c r="D7" s="117" t="s">
        <v>11</v>
      </c>
      <c r="E7" s="117" t="s">
        <v>12</v>
      </c>
      <c r="F7" s="117" t="s">
        <v>2</v>
      </c>
      <c r="G7" s="118" t="s">
        <v>13</v>
      </c>
    </row>
    <row r="8" spans="2:7" ht="55.5" customHeight="1">
      <c r="B8" s="300" t="s">
        <v>14</v>
      </c>
      <c r="C8" s="183" t="s">
        <v>299</v>
      </c>
      <c r="D8" s="183">
        <v>4590.76</v>
      </c>
      <c r="E8" s="183">
        <v>4.25</v>
      </c>
      <c r="F8" s="184">
        <v>10</v>
      </c>
      <c r="G8" s="188"/>
    </row>
    <row r="9" spans="2:7" ht="55.5" customHeight="1">
      <c r="B9" s="301"/>
      <c r="C9" s="183" t="s">
        <v>300</v>
      </c>
      <c r="D9" s="183">
        <v>910.83</v>
      </c>
      <c r="E9" s="183">
        <v>3</v>
      </c>
      <c r="F9" s="184">
        <v>12</v>
      </c>
      <c r="G9" s="188"/>
    </row>
    <row r="10" spans="2:7" ht="55.5" customHeight="1">
      <c r="B10" s="301"/>
      <c r="C10" s="183" t="s">
        <v>301</v>
      </c>
      <c r="D10" s="183">
        <v>1998.3</v>
      </c>
      <c r="E10" s="183">
        <v>6</v>
      </c>
      <c r="F10" s="184">
        <v>7</v>
      </c>
      <c r="G10" s="188"/>
    </row>
    <row r="11" spans="2:7" ht="55.5" customHeight="1">
      <c r="B11" s="301"/>
      <c r="C11" s="183" t="s">
        <v>302</v>
      </c>
      <c r="D11" s="183">
        <v>1327.05</v>
      </c>
      <c r="E11" s="183">
        <v>3</v>
      </c>
      <c r="F11" s="184">
        <v>11</v>
      </c>
      <c r="G11" s="188"/>
    </row>
    <row r="12" spans="2:7" ht="55.5" customHeight="1">
      <c r="B12" s="301"/>
      <c r="C12" s="183" t="s">
        <v>303</v>
      </c>
      <c r="D12" s="183">
        <v>154.06</v>
      </c>
      <c r="E12" s="183">
        <v>4.25</v>
      </c>
      <c r="F12" s="184">
        <v>2</v>
      </c>
      <c r="G12" s="188"/>
    </row>
    <row r="13" spans="2:7" ht="55.5" customHeight="1">
      <c r="B13" s="301"/>
      <c r="C13" s="183" t="s">
        <v>304</v>
      </c>
      <c r="D13" s="183">
        <v>9860.77</v>
      </c>
      <c r="E13" s="183">
        <v>4.75</v>
      </c>
      <c r="F13" s="184">
        <v>7</v>
      </c>
      <c r="G13" s="188"/>
    </row>
    <row r="14" spans="2:7" ht="55.5" customHeight="1">
      <c r="B14" s="301"/>
      <c r="C14" s="183" t="s">
        <v>305</v>
      </c>
      <c r="D14" s="183">
        <v>1761.39</v>
      </c>
      <c r="E14" s="183">
        <v>3</v>
      </c>
      <c r="F14" s="184">
        <v>6</v>
      </c>
      <c r="G14" s="188"/>
    </row>
    <row r="15" spans="2:7" ht="55.5" customHeight="1">
      <c r="B15" s="301"/>
      <c r="C15" s="183" t="s">
        <v>306</v>
      </c>
      <c r="D15" s="183">
        <v>225.01</v>
      </c>
      <c r="E15" s="183">
        <v>3</v>
      </c>
      <c r="F15" s="184">
        <v>3</v>
      </c>
      <c r="G15" s="188"/>
    </row>
    <row r="16" spans="2:7" ht="55.5" customHeight="1">
      <c r="B16" s="301"/>
      <c r="C16" s="183" t="s">
        <v>307</v>
      </c>
      <c r="D16" s="183">
        <v>2940.47</v>
      </c>
      <c r="E16" s="183">
        <v>4.25</v>
      </c>
      <c r="F16" s="184">
        <v>8</v>
      </c>
      <c r="G16" s="188"/>
    </row>
    <row r="17" spans="2:7" ht="55.5" customHeight="1">
      <c r="B17" s="301"/>
      <c r="C17" s="183" t="s">
        <v>308</v>
      </c>
      <c r="D17" s="183">
        <v>710.25</v>
      </c>
      <c r="E17" s="183">
        <v>3</v>
      </c>
      <c r="F17" s="184">
        <v>3</v>
      </c>
      <c r="G17" s="188"/>
    </row>
    <row r="18" spans="2:7" ht="55.5" customHeight="1">
      <c r="B18" s="301"/>
      <c r="C18" s="183" t="s">
        <v>309</v>
      </c>
      <c r="D18" s="183">
        <v>1133.69</v>
      </c>
      <c r="E18" s="183">
        <v>4.25</v>
      </c>
      <c r="F18" s="184">
        <v>4</v>
      </c>
      <c r="G18" s="188"/>
    </row>
    <row r="19" spans="2:7" ht="55.5" customHeight="1">
      <c r="B19" s="301"/>
      <c r="C19" s="183" t="s">
        <v>310</v>
      </c>
      <c r="D19" s="183">
        <v>351</v>
      </c>
      <c r="E19" s="183">
        <v>3</v>
      </c>
      <c r="F19" s="184">
        <v>1</v>
      </c>
      <c r="G19" s="188"/>
    </row>
    <row r="20" spans="2:7" ht="55.5" customHeight="1">
      <c r="B20" s="301"/>
      <c r="C20" s="183" t="s">
        <v>310</v>
      </c>
      <c r="D20" s="183">
        <v>324</v>
      </c>
      <c r="E20" s="183">
        <v>6</v>
      </c>
      <c r="F20" s="184">
        <v>1</v>
      </c>
      <c r="G20" s="188"/>
    </row>
    <row r="21" spans="2:7" ht="55.5" customHeight="1">
      <c r="B21" s="301"/>
      <c r="C21" s="183" t="s">
        <v>311</v>
      </c>
      <c r="D21" s="183">
        <v>4380.68</v>
      </c>
      <c r="E21" s="183">
        <v>4.25</v>
      </c>
      <c r="F21" s="184">
        <v>5</v>
      </c>
      <c r="G21" s="188"/>
    </row>
    <row r="22" spans="2:7" ht="55.5" customHeight="1">
      <c r="B22" s="301"/>
      <c r="C22" s="183" t="s">
        <v>312</v>
      </c>
      <c r="D22" s="183">
        <v>2140.0100000000002</v>
      </c>
      <c r="E22" s="183">
        <v>3</v>
      </c>
      <c r="F22" s="184">
        <v>5</v>
      </c>
      <c r="G22" s="188"/>
    </row>
    <row r="23" spans="2:7" ht="55.5" customHeight="1">
      <c r="B23" s="301"/>
      <c r="C23" s="183" t="s">
        <v>313</v>
      </c>
      <c r="D23" s="183">
        <v>490.13</v>
      </c>
      <c r="E23" s="183">
        <v>3</v>
      </c>
      <c r="F23" s="184">
        <v>4</v>
      </c>
      <c r="G23" s="188"/>
    </row>
    <row r="24" spans="2:7" ht="55.5" customHeight="1">
      <c r="B24" s="301"/>
      <c r="C24" s="183" t="s">
        <v>314</v>
      </c>
      <c r="D24" s="183">
        <v>721.85</v>
      </c>
      <c r="E24" s="183">
        <v>6</v>
      </c>
      <c r="F24" s="184">
        <v>3</v>
      </c>
      <c r="G24" s="188"/>
    </row>
    <row r="25" spans="2:7" ht="55.5" customHeight="1">
      <c r="B25" s="301"/>
      <c r="C25" s="183" t="s">
        <v>315</v>
      </c>
      <c r="D25" s="183">
        <v>699.56</v>
      </c>
      <c r="E25" s="183">
        <v>4.25</v>
      </c>
      <c r="F25" s="184">
        <v>5</v>
      </c>
      <c r="G25" s="188"/>
    </row>
    <row r="26" spans="2:7" ht="55.5" customHeight="1">
      <c r="B26" s="301"/>
      <c r="C26" s="183" t="s">
        <v>316</v>
      </c>
      <c r="D26" s="183">
        <v>109.13</v>
      </c>
      <c r="E26" s="183">
        <v>3</v>
      </c>
      <c r="F26" s="184">
        <v>2</v>
      </c>
      <c r="G26" s="188"/>
    </row>
    <row r="27" spans="2:7" ht="55.5" customHeight="1">
      <c r="B27" s="301"/>
      <c r="C27" s="183" t="s">
        <v>317</v>
      </c>
      <c r="D27" s="183">
        <v>1085.3399999999999</v>
      </c>
      <c r="E27" s="183">
        <v>4.25</v>
      </c>
      <c r="F27" s="184">
        <v>4</v>
      </c>
      <c r="G27" s="188"/>
    </row>
    <row r="28" spans="2:7" ht="55.5" customHeight="1">
      <c r="B28" s="301"/>
      <c r="C28" s="183" t="s">
        <v>318</v>
      </c>
      <c r="D28" s="183">
        <v>105.38</v>
      </c>
      <c r="E28" s="183">
        <v>3</v>
      </c>
      <c r="F28" s="184">
        <v>2</v>
      </c>
      <c r="G28" s="188"/>
    </row>
    <row r="29" spans="2:7" ht="55.5" customHeight="1">
      <c r="B29" s="301"/>
      <c r="C29" s="183" t="s">
        <v>319</v>
      </c>
      <c r="D29" s="183">
        <v>2900.1</v>
      </c>
      <c r="E29" s="183">
        <v>4.25</v>
      </c>
      <c r="F29" s="184">
        <v>11</v>
      </c>
      <c r="G29" s="188"/>
    </row>
    <row r="30" spans="2:7" ht="55.5" customHeight="1">
      <c r="B30" s="301"/>
      <c r="C30" s="183" t="s">
        <v>320</v>
      </c>
      <c r="D30" s="183">
        <v>0</v>
      </c>
      <c r="E30" s="183">
        <v>3</v>
      </c>
      <c r="F30" s="184">
        <v>0</v>
      </c>
      <c r="G30" s="73" t="s">
        <v>236</v>
      </c>
    </row>
    <row r="31" spans="2:7" ht="55.5" customHeight="1">
      <c r="B31" s="301"/>
      <c r="C31" s="183" t="s">
        <v>321</v>
      </c>
      <c r="D31" s="183">
        <v>444.14</v>
      </c>
      <c r="E31" s="183">
        <v>4.25</v>
      </c>
      <c r="F31" s="184">
        <v>6</v>
      </c>
      <c r="G31" s="188"/>
    </row>
    <row r="32" spans="2:7" ht="55.5" customHeight="1">
      <c r="B32" s="301"/>
      <c r="C32" s="183" t="s">
        <v>322</v>
      </c>
      <c r="D32" s="183">
        <v>0</v>
      </c>
      <c r="E32" s="183">
        <v>3</v>
      </c>
      <c r="F32" s="184">
        <v>0</v>
      </c>
      <c r="G32" s="73" t="s">
        <v>236</v>
      </c>
    </row>
    <row r="33" spans="2:7" ht="55.5" customHeight="1">
      <c r="B33" s="301"/>
      <c r="C33" s="183" t="s">
        <v>323</v>
      </c>
      <c r="D33" s="183">
        <v>2025.13</v>
      </c>
      <c r="E33" s="183">
        <v>4.25</v>
      </c>
      <c r="F33" s="184">
        <v>5</v>
      </c>
      <c r="G33" s="188"/>
    </row>
    <row r="34" spans="2:7" ht="55.5" customHeight="1">
      <c r="B34" s="301"/>
      <c r="C34" s="183" t="s">
        <v>324</v>
      </c>
      <c r="D34" s="183">
        <v>1003.58</v>
      </c>
      <c r="E34" s="183">
        <v>3</v>
      </c>
      <c r="F34" s="184">
        <v>6</v>
      </c>
      <c r="G34" s="188"/>
    </row>
    <row r="35" spans="2:7" ht="55.5" customHeight="1">
      <c r="B35" s="301"/>
      <c r="C35" s="183" t="s">
        <v>325</v>
      </c>
      <c r="D35" s="183">
        <v>0</v>
      </c>
      <c r="E35" s="183">
        <v>3</v>
      </c>
      <c r="F35" s="184">
        <v>0</v>
      </c>
      <c r="G35" s="73" t="s">
        <v>236</v>
      </c>
    </row>
    <row r="36" spans="2:7" ht="55.5" customHeight="1">
      <c r="B36" s="301"/>
      <c r="C36" s="183" t="s">
        <v>326</v>
      </c>
      <c r="D36" s="183">
        <v>3090.83</v>
      </c>
      <c r="E36" s="183">
        <v>4.25</v>
      </c>
      <c r="F36" s="184">
        <v>12</v>
      </c>
      <c r="G36" s="188"/>
    </row>
    <row r="37" spans="2:7" ht="55.5" customHeight="1">
      <c r="B37" s="301"/>
      <c r="C37" s="183" t="s">
        <v>327</v>
      </c>
      <c r="D37" s="183">
        <v>404.25</v>
      </c>
      <c r="E37" s="183">
        <v>3</v>
      </c>
      <c r="F37" s="184">
        <v>5</v>
      </c>
      <c r="G37" s="188"/>
    </row>
    <row r="38" spans="2:7" ht="55.5" customHeight="1">
      <c r="B38" s="301"/>
      <c r="C38" s="183" t="s">
        <v>328</v>
      </c>
      <c r="D38" s="183">
        <v>1488.53</v>
      </c>
      <c r="E38" s="183">
        <v>3</v>
      </c>
      <c r="F38" s="184">
        <v>7</v>
      </c>
      <c r="G38" s="188"/>
    </row>
    <row r="39" spans="2:7" ht="55.5" customHeight="1">
      <c r="B39" s="301"/>
      <c r="C39" s="183" t="s">
        <v>329</v>
      </c>
      <c r="D39" s="183">
        <v>4088.93</v>
      </c>
      <c r="E39" s="183">
        <v>4.25</v>
      </c>
      <c r="F39" s="184">
        <v>5</v>
      </c>
      <c r="G39" s="188"/>
    </row>
    <row r="40" spans="2:7" ht="55.5" customHeight="1">
      <c r="B40" s="301"/>
      <c r="C40" s="183" t="s">
        <v>330</v>
      </c>
      <c r="D40" s="183">
        <v>0</v>
      </c>
      <c r="E40" s="183">
        <v>3</v>
      </c>
      <c r="F40" s="184">
        <v>0</v>
      </c>
      <c r="G40" s="73" t="s">
        <v>236</v>
      </c>
    </row>
    <row r="41" spans="2:7" ht="55.5" customHeight="1">
      <c r="B41" s="301"/>
      <c r="C41" s="183" t="s">
        <v>331</v>
      </c>
      <c r="D41" s="183">
        <v>65.63</v>
      </c>
      <c r="E41" s="183">
        <v>4.25</v>
      </c>
      <c r="F41" s="184">
        <v>1</v>
      </c>
      <c r="G41" s="188"/>
    </row>
    <row r="42" spans="2:7" ht="55.5" customHeight="1">
      <c r="B42" s="301"/>
      <c r="C42" s="183" t="s">
        <v>332</v>
      </c>
      <c r="D42" s="183">
        <v>270.08</v>
      </c>
      <c r="E42" s="183">
        <v>4.25</v>
      </c>
      <c r="F42" s="184">
        <v>3</v>
      </c>
      <c r="G42" s="188"/>
    </row>
    <row r="43" spans="2:7" ht="55.5" customHeight="1">
      <c r="B43" s="301"/>
      <c r="C43" s="183" t="s">
        <v>333</v>
      </c>
      <c r="D43" s="183">
        <v>386.25</v>
      </c>
      <c r="E43" s="183">
        <v>3</v>
      </c>
      <c r="F43" s="184">
        <v>7</v>
      </c>
      <c r="G43" s="188"/>
    </row>
    <row r="44" spans="2:7" ht="55.5" customHeight="1">
      <c r="B44" s="301"/>
      <c r="C44" s="183" t="s">
        <v>333</v>
      </c>
      <c r="D44" s="183">
        <v>186</v>
      </c>
      <c r="E44" s="183">
        <v>6</v>
      </c>
      <c r="F44" s="184">
        <v>1</v>
      </c>
      <c r="G44" s="188"/>
    </row>
    <row r="45" spans="2:7" ht="55.5" customHeight="1">
      <c r="B45" s="301"/>
      <c r="C45" s="183" t="s">
        <v>334</v>
      </c>
      <c r="D45" s="183">
        <v>772.88</v>
      </c>
      <c r="E45" s="183">
        <v>3</v>
      </c>
      <c r="F45" s="184">
        <v>9</v>
      </c>
      <c r="G45" s="188"/>
    </row>
    <row r="46" spans="2:7" ht="55.5" customHeight="1">
      <c r="B46" s="301"/>
      <c r="C46" s="183" t="s">
        <v>335</v>
      </c>
      <c r="D46" s="183">
        <v>94.5</v>
      </c>
      <c r="E46" s="183">
        <v>3</v>
      </c>
      <c r="F46" s="184">
        <v>1</v>
      </c>
      <c r="G46" s="188"/>
    </row>
    <row r="47" spans="2:7" ht="55.5" customHeight="1">
      <c r="B47" s="301"/>
      <c r="C47" s="183" t="s">
        <v>336</v>
      </c>
      <c r="D47" s="183">
        <v>463.63</v>
      </c>
      <c r="E47" s="183">
        <v>3</v>
      </c>
      <c r="F47" s="184">
        <v>3</v>
      </c>
      <c r="G47" s="188"/>
    </row>
    <row r="48" spans="2:7" ht="55.5" customHeight="1">
      <c r="B48" s="301"/>
      <c r="C48" s="183" t="s">
        <v>337</v>
      </c>
      <c r="D48" s="183">
        <v>0</v>
      </c>
      <c r="E48" s="183">
        <v>3</v>
      </c>
      <c r="F48" s="184">
        <v>0</v>
      </c>
      <c r="G48" s="73" t="s">
        <v>236</v>
      </c>
    </row>
    <row r="49" spans="1:10" ht="55.5" customHeight="1">
      <c r="B49" s="301"/>
      <c r="C49" s="183" t="s">
        <v>338</v>
      </c>
      <c r="D49" s="183">
        <v>214</v>
      </c>
      <c r="E49" s="183">
        <v>3</v>
      </c>
      <c r="F49" s="184">
        <v>2</v>
      </c>
      <c r="G49" s="188"/>
    </row>
    <row r="50" spans="1:10" ht="55.5" customHeight="1">
      <c r="B50" s="301"/>
      <c r="C50" s="183" t="s">
        <v>339</v>
      </c>
      <c r="D50" s="183">
        <v>9143.82</v>
      </c>
      <c r="E50" s="183">
        <v>4.75</v>
      </c>
      <c r="F50" s="184">
        <v>13</v>
      </c>
      <c r="G50" s="182" t="s">
        <v>340</v>
      </c>
    </row>
    <row r="51" spans="1:10" ht="55.5" customHeight="1">
      <c r="B51" s="302"/>
      <c r="C51" s="183" t="s">
        <v>339</v>
      </c>
      <c r="D51" s="183">
        <v>0</v>
      </c>
      <c r="E51" s="183">
        <v>9.5</v>
      </c>
      <c r="F51" s="184">
        <v>0</v>
      </c>
      <c r="G51" s="73" t="s">
        <v>236</v>
      </c>
    </row>
    <row r="52" spans="1:10" ht="25.5" customHeight="1">
      <c r="B52" s="81" t="s">
        <v>70</v>
      </c>
      <c r="C52" s="73"/>
      <c r="D52" s="186">
        <f>SUM(D8:D51)</f>
        <v>63061.939999999973</v>
      </c>
      <c r="E52" s="186">
        <f>SUM(E8:E51)</f>
        <v>171.5</v>
      </c>
      <c r="F52" s="185">
        <f>SUM(F8:F51)</f>
        <v>202</v>
      </c>
      <c r="G52" s="83"/>
    </row>
    <row r="53" spans="1:10" ht="55.5" customHeight="1">
      <c r="B53" s="319" t="s">
        <v>71</v>
      </c>
      <c r="C53" s="182" t="s">
        <v>341</v>
      </c>
      <c r="D53" s="183">
        <v>0</v>
      </c>
      <c r="E53" s="183">
        <v>0</v>
      </c>
      <c r="F53" s="184">
        <v>3</v>
      </c>
      <c r="G53" s="182" t="s">
        <v>342</v>
      </c>
    </row>
    <row r="54" spans="1:10" ht="55.5" customHeight="1">
      <c r="B54" s="319"/>
      <c r="C54" s="182" t="s">
        <v>341</v>
      </c>
      <c r="D54" s="183">
        <v>111</v>
      </c>
      <c r="E54" s="183">
        <v>37</v>
      </c>
      <c r="F54" s="184">
        <v>3</v>
      </c>
      <c r="G54" s="182"/>
    </row>
    <row r="55" spans="1:10" ht="55.5" customHeight="1">
      <c r="B55" s="319"/>
      <c r="C55" s="182" t="s">
        <v>343</v>
      </c>
      <c r="D55" s="183">
        <v>0</v>
      </c>
      <c r="E55" s="183">
        <v>0</v>
      </c>
      <c r="F55" s="184">
        <v>0</v>
      </c>
      <c r="G55" s="182" t="s">
        <v>342</v>
      </c>
    </row>
    <row r="56" spans="1:10" ht="55.5" customHeight="1">
      <c r="B56" s="319"/>
      <c r="C56" s="182" t="s">
        <v>343</v>
      </c>
      <c r="D56" s="183">
        <v>2604</v>
      </c>
      <c r="E56" s="183">
        <v>124</v>
      </c>
      <c r="F56" s="184">
        <v>19</v>
      </c>
      <c r="G56" s="182"/>
      <c r="H56" s="84"/>
      <c r="I56" s="84"/>
      <c r="J56" s="84"/>
    </row>
    <row r="57" spans="1:10" ht="25.5" customHeight="1">
      <c r="B57" s="87" t="s">
        <v>70</v>
      </c>
      <c r="C57" s="100"/>
      <c r="D57" s="186">
        <f>SUM(D53:D56)</f>
        <v>2715</v>
      </c>
      <c r="E57" s="186">
        <f>SUM(E53:E56)</f>
        <v>161</v>
      </c>
      <c r="F57" s="185">
        <f>SUM(F53:F56)</f>
        <v>25</v>
      </c>
      <c r="G57" s="83"/>
      <c r="H57" s="84"/>
      <c r="I57" s="84"/>
      <c r="J57" s="84"/>
    </row>
    <row r="58" spans="1:10" ht="31.5" customHeight="1">
      <c r="B58" s="322" t="s">
        <v>77</v>
      </c>
      <c r="C58" s="322"/>
      <c r="D58" s="322"/>
      <c r="E58" s="322"/>
      <c r="F58" s="322"/>
      <c r="G58" s="323"/>
    </row>
    <row r="59" spans="1:10" ht="53.25" customHeight="1">
      <c r="A59" s="8"/>
      <c r="B59" s="117" t="s">
        <v>9</v>
      </c>
      <c r="C59" s="117" t="s">
        <v>78</v>
      </c>
      <c r="D59" s="117" t="s">
        <v>11</v>
      </c>
      <c r="E59" s="117" t="s">
        <v>79</v>
      </c>
      <c r="F59" s="117" t="s">
        <v>2</v>
      </c>
      <c r="G59" s="118" t="s">
        <v>80</v>
      </c>
    </row>
    <row r="60" spans="1:10" ht="33" customHeight="1">
      <c r="B60" s="100" t="s">
        <v>81</v>
      </c>
      <c r="C60" s="96"/>
      <c r="D60" s="183">
        <v>0</v>
      </c>
      <c r="E60" s="106">
        <v>0</v>
      </c>
      <c r="F60" s="88">
        <v>0</v>
      </c>
      <c r="G60" s="73" t="s">
        <v>236</v>
      </c>
    </row>
    <row r="61" spans="1:10" ht="20.100000000000001" customHeight="1">
      <c r="B61" s="89" t="s">
        <v>70</v>
      </c>
      <c r="C61" s="187"/>
      <c r="D61" s="133">
        <f>D60</f>
        <v>0</v>
      </c>
      <c r="E61" s="133">
        <f>E60</f>
        <v>0</v>
      </c>
      <c r="F61" s="190">
        <f>F60</f>
        <v>0</v>
      </c>
      <c r="G61" s="92"/>
    </row>
    <row r="62" spans="1:10" ht="39.9" customHeight="1">
      <c r="B62" s="100" t="s">
        <v>82</v>
      </c>
      <c r="C62" s="182" t="s">
        <v>344</v>
      </c>
      <c r="D62" s="183">
        <v>7013.85</v>
      </c>
      <c r="E62" s="183">
        <v>5692.16</v>
      </c>
      <c r="F62" s="88">
        <v>107</v>
      </c>
      <c r="G62" s="139" t="s">
        <v>351</v>
      </c>
    </row>
    <row r="63" spans="1:10" ht="20.100000000000001" customHeight="1">
      <c r="B63" s="89" t="s">
        <v>70</v>
      </c>
      <c r="C63" s="187"/>
      <c r="D63" s="133">
        <f>D62</f>
        <v>7013.85</v>
      </c>
      <c r="E63" s="133">
        <f>E62</f>
        <v>5692.16</v>
      </c>
      <c r="F63" s="190">
        <f>F62</f>
        <v>107</v>
      </c>
      <c r="G63" s="92"/>
    </row>
    <row r="64" spans="1:10" ht="59.4" customHeight="1">
      <c r="B64" s="100" t="s">
        <v>89</v>
      </c>
      <c r="C64" s="182" t="s">
        <v>345</v>
      </c>
      <c r="D64" s="183">
        <v>1341.28</v>
      </c>
      <c r="E64" s="183">
        <v>1341.28</v>
      </c>
      <c r="F64" s="88">
        <v>1</v>
      </c>
      <c r="G64" s="88"/>
    </row>
    <row r="65" spans="2:7" ht="20.100000000000001" customHeight="1">
      <c r="B65" s="89" t="s">
        <v>70</v>
      </c>
      <c r="C65" s="187"/>
      <c r="D65" s="133">
        <f>D64</f>
        <v>1341.28</v>
      </c>
      <c r="E65" s="133">
        <f>E64</f>
        <v>1341.28</v>
      </c>
      <c r="F65" s="190">
        <f>F64</f>
        <v>1</v>
      </c>
      <c r="G65" s="92"/>
    </row>
    <row r="66" spans="2:7" ht="39.9" customHeight="1">
      <c r="B66" s="100" t="s">
        <v>93</v>
      </c>
      <c r="C66" s="182" t="s">
        <v>346</v>
      </c>
      <c r="D66" s="183">
        <v>14301.88</v>
      </c>
      <c r="E66" s="183">
        <v>20580</v>
      </c>
      <c r="F66" s="88">
        <v>1</v>
      </c>
      <c r="G66" s="88" t="s">
        <v>347</v>
      </c>
    </row>
    <row r="67" spans="2:7" ht="20.100000000000001" customHeight="1">
      <c r="B67" s="89" t="s">
        <v>70</v>
      </c>
      <c r="C67" s="187"/>
      <c r="D67" s="133">
        <f>D66</f>
        <v>14301.88</v>
      </c>
      <c r="E67" s="133">
        <f>E66</f>
        <v>20580</v>
      </c>
      <c r="F67" s="190">
        <f>F66</f>
        <v>1</v>
      </c>
      <c r="G67" s="92"/>
    </row>
    <row r="68" spans="2:7" ht="39.9" customHeight="1">
      <c r="B68" s="100" t="s">
        <v>96</v>
      </c>
      <c r="C68" s="97"/>
      <c r="D68" s="106">
        <v>0</v>
      </c>
      <c r="E68" s="106">
        <v>0</v>
      </c>
      <c r="F68" s="88">
        <v>0</v>
      </c>
      <c r="G68" s="73" t="s">
        <v>236</v>
      </c>
    </row>
    <row r="69" spans="2:7" ht="20.100000000000001" customHeight="1">
      <c r="B69" s="89" t="s">
        <v>70</v>
      </c>
      <c r="C69" s="187"/>
      <c r="D69" s="133">
        <f>D68</f>
        <v>0</v>
      </c>
      <c r="E69" s="133">
        <f>E68</f>
        <v>0</v>
      </c>
      <c r="F69" s="190">
        <f>F68</f>
        <v>0</v>
      </c>
      <c r="G69" s="92"/>
    </row>
    <row r="70" spans="2:7" ht="17.25" customHeight="1">
      <c r="B70" s="321"/>
      <c r="C70" s="321"/>
      <c r="D70" s="321"/>
      <c r="E70" s="321"/>
      <c r="F70" s="321"/>
      <c r="G70" s="321"/>
    </row>
    <row r="71" spans="2:7" ht="33" customHeight="1">
      <c r="B71" s="87" t="s">
        <v>160</v>
      </c>
      <c r="C71" s="94"/>
      <c r="D71" s="189">
        <f>SUM(D69,D67,D65,D63,D61,D57,D52)</f>
        <v>88433.949999999983</v>
      </c>
      <c r="E71" s="189">
        <f>SUM(E69,E67,E65,E63,E61,E57,E52)</f>
        <v>27945.94</v>
      </c>
      <c r="F71" s="191">
        <f>SUM(F69,F67,F65,F63,F61,F57,F52)</f>
        <v>336</v>
      </c>
      <c r="G71" s="92"/>
    </row>
    <row r="72" spans="2:7">
      <c r="B72" s="79"/>
      <c r="C72" s="65"/>
      <c r="D72" s="65"/>
      <c r="E72" s="65"/>
      <c r="F72" s="65"/>
    </row>
    <row r="73" spans="2:7">
      <c r="B73" s="79"/>
      <c r="C73" s="65"/>
      <c r="D73" s="65"/>
      <c r="E73" s="65"/>
      <c r="F73" s="65"/>
    </row>
    <row r="74" spans="2:7">
      <c r="B74" s="98" t="s">
        <v>238</v>
      </c>
    </row>
    <row r="75" spans="2:7">
      <c r="B75" s="98"/>
    </row>
    <row r="76" spans="2:7">
      <c r="B76" s="99" t="s">
        <v>348</v>
      </c>
    </row>
    <row r="77" spans="2:7">
      <c r="B77" s="99" t="s">
        <v>349</v>
      </c>
    </row>
    <row r="78" spans="2:7">
      <c r="B78" s="99" t="s">
        <v>350</v>
      </c>
    </row>
    <row r="79" spans="2:7">
      <c r="B79" s="127"/>
    </row>
    <row r="80" spans="2:7">
      <c r="B80" t="s">
        <v>163</v>
      </c>
    </row>
    <row r="81" spans="2:4">
      <c r="B81" s="311"/>
      <c r="C81" s="311"/>
      <c r="D81" s="311"/>
    </row>
    <row r="83" spans="2:4" ht="15.75" customHeight="1"/>
  </sheetData>
  <mergeCells count="8">
    <mergeCell ref="B70:G70"/>
    <mergeCell ref="B81:D81"/>
    <mergeCell ref="B4:G4"/>
    <mergeCell ref="B5:G5"/>
    <mergeCell ref="B6:G6"/>
    <mergeCell ref="B8:B51"/>
    <mergeCell ref="B53:B56"/>
    <mergeCell ref="B58:G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EE6B-548E-41C5-AD96-6C5F7C759E5D}">
  <dimension ref="A1:J95"/>
  <sheetViews>
    <sheetView topLeftCell="A78" zoomScale="110" zoomScaleNormal="110" workbookViewId="0">
      <selection activeCell="B94" sqref="B94:C94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17" customWidth="1"/>
    <col min="6" max="6" width="15.33203125" customWidth="1"/>
    <col min="7" max="7" width="34.44140625" customWidth="1"/>
  </cols>
  <sheetData>
    <row r="1" spans="2:7" ht="30" customHeight="1">
      <c r="B1" s="68" t="s">
        <v>4</v>
      </c>
    </row>
    <row r="2" spans="2:7" ht="25.5" customHeight="1">
      <c r="B2" s="68" t="s">
        <v>5</v>
      </c>
      <c r="D2" s="115"/>
      <c r="E2" s="115"/>
    </row>
    <row r="3" spans="2:7" ht="12.75" customHeight="1">
      <c r="B3" s="68"/>
      <c r="D3" s="115"/>
      <c r="E3" s="115"/>
    </row>
    <row r="4" spans="2:7" ht="32.25" customHeight="1">
      <c r="B4" s="274" t="s">
        <v>297</v>
      </c>
      <c r="C4" s="274"/>
      <c r="D4" s="274"/>
      <c r="E4" s="274"/>
      <c r="F4" s="274"/>
      <c r="G4" s="274"/>
    </row>
    <row r="5" spans="2:7" ht="31.5" customHeight="1">
      <c r="B5" s="274" t="s">
        <v>352</v>
      </c>
      <c r="C5" s="274"/>
      <c r="D5" s="274"/>
      <c r="E5" s="274"/>
      <c r="F5" s="274"/>
      <c r="G5" s="274"/>
    </row>
    <row r="6" spans="2:7" ht="26.25" customHeight="1">
      <c r="B6" s="275" t="s">
        <v>8</v>
      </c>
      <c r="C6" s="275"/>
      <c r="D6" s="275"/>
      <c r="E6" s="275"/>
      <c r="F6" s="275"/>
      <c r="G6" s="275"/>
    </row>
    <row r="7" spans="2:7" ht="55.5" customHeight="1">
      <c r="B7" s="116" t="s">
        <v>9</v>
      </c>
      <c r="C7" s="117" t="s">
        <v>10</v>
      </c>
      <c r="D7" s="117" t="s">
        <v>11</v>
      </c>
      <c r="E7" s="117" t="s">
        <v>12</v>
      </c>
      <c r="F7" s="117" t="s">
        <v>2</v>
      </c>
      <c r="G7" s="118" t="s">
        <v>13</v>
      </c>
    </row>
    <row r="8" spans="2:7" ht="36.75" customHeight="1">
      <c r="B8" s="319" t="s">
        <v>14</v>
      </c>
      <c r="C8" s="192" t="s">
        <v>353</v>
      </c>
      <c r="D8" s="106">
        <v>669.71</v>
      </c>
      <c r="E8" s="104">
        <v>4.7699999999999996</v>
      </c>
      <c r="F8" s="135">
        <v>4</v>
      </c>
      <c r="G8" s="71"/>
    </row>
    <row r="9" spans="2:7" ht="36.75" customHeight="1">
      <c r="B9" s="319"/>
      <c r="C9" s="192" t="s">
        <v>354</v>
      </c>
      <c r="D9" s="106">
        <v>695.52</v>
      </c>
      <c r="E9" s="104">
        <v>2.7</v>
      </c>
      <c r="F9" s="135">
        <v>1</v>
      </c>
      <c r="G9" s="71"/>
    </row>
    <row r="10" spans="2:7" ht="36.75" customHeight="1">
      <c r="B10" s="319"/>
      <c r="C10" s="192" t="s">
        <v>355</v>
      </c>
      <c r="D10" s="106">
        <v>786.24</v>
      </c>
      <c r="E10" s="104">
        <v>2.7</v>
      </c>
      <c r="F10" s="135">
        <v>1</v>
      </c>
      <c r="G10" s="71"/>
    </row>
    <row r="11" spans="2:7" ht="36.75" customHeight="1">
      <c r="B11" s="319"/>
      <c r="C11" s="192" t="s">
        <v>356</v>
      </c>
      <c r="D11" s="106">
        <v>181.44</v>
      </c>
      <c r="E11" s="104">
        <v>2.7</v>
      </c>
      <c r="F11" s="135">
        <v>1</v>
      </c>
      <c r="G11" s="71"/>
    </row>
    <row r="12" spans="2:7" ht="36.75" customHeight="1">
      <c r="B12" s="319"/>
      <c r="C12" s="192" t="s">
        <v>357</v>
      </c>
      <c r="D12" s="106">
        <v>583.78</v>
      </c>
      <c r="E12" s="104">
        <v>4.7699999999999996</v>
      </c>
      <c r="F12" s="135">
        <v>1</v>
      </c>
      <c r="G12" s="71"/>
    </row>
    <row r="13" spans="2:7" ht="36.75" customHeight="1">
      <c r="B13" s="319"/>
      <c r="C13" s="192" t="s">
        <v>358</v>
      </c>
      <c r="D13" s="106">
        <v>0</v>
      </c>
      <c r="E13" s="104">
        <v>2.7</v>
      </c>
      <c r="F13" s="135">
        <v>1</v>
      </c>
      <c r="G13" s="71"/>
    </row>
    <row r="14" spans="2:7" ht="36.75" customHeight="1">
      <c r="B14" s="319"/>
      <c r="C14" s="192" t="s">
        <v>359</v>
      </c>
      <c r="D14" s="106">
        <v>2381.4</v>
      </c>
      <c r="E14" s="104">
        <v>2.7</v>
      </c>
      <c r="F14" s="135">
        <v>3</v>
      </c>
      <c r="G14" s="71"/>
    </row>
    <row r="15" spans="2:7" ht="36.75" customHeight="1">
      <c r="B15" s="319"/>
      <c r="C15" s="192" t="s">
        <v>360</v>
      </c>
      <c r="D15" s="106">
        <v>373.97</v>
      </c>
      <c r="E15" s="104">
        <v>4.7699999999999996</v>
      </c>
      <c r="F15" s="135">
        <v>1</v>
      </c>
      <c r="G15" s="71"/>
    </row>
    <row r="16" spans="2:7" ht="36.75" customHeight="1">
      <c r="B16" s="319"/>
      <c r="C16" s="192" t="s">
        <v>361</v>
      </c>
      <c r="D16" s="106">
        <v>792.2</v>
      </c>
      <c r="E16" s="104">
        <v>2.7</v>
      </c>
      <c r="F16" s="135">
        <v>6</v>
      </c>
      <c r="G16" s="71"/>
    </row>
    <row r="17" spans="2:7" ht="36.75" customHeight="1">
      <c r="B17" s="319"/>
      <c r="C17" s="192" t="s">
        <v>362</v>
      </c>
      <c r="D17" s="106">
        <v>86.4</v>
      </c>
      <c r="E17" s="104">
        <v>2.7</v>
      </c>
      <c r="F17" s="135">
        <v>1</v>
      </c>
      <c r="G17" s="71"/>
    </row>
    <row r="18" spans="2:7" ht="36.75" customHeight="1">
      <c r="B18" s="319"/>
      <c r="C18" s="192" t="s">
        <v>363</v>
      </c>
      <c r="D18" s="106">
        <v>628.16</v>
      </c>
      <c r="E18" s="104">
        <v>2.7</v>
      </c>
      <c r="F18" s="135">
        <v>9</v>
      </c>
      <c r="G18" s="71"/>
    </row>
    <row r="19" spans="2:7" ht="36.75" customHeight="1">
      <c r="B19" s="319"/>
      <c r="C19" s="192" t="s">
        <v>364</v>
      </c>
      <c r="D19" s="106">
        <v>8300</v>
      </c>
      <c r="E19" s="104">
        <v>6.81</v>
      </c>
      <c r="F19" s="135">
        <v>6</v>
      </c>
      <c r="G19" s="71"/>
    </row>
    <row r="20" spans="2:7" ht="36.75" customHeight="1">
      <c r="B20" s="319"/>
      <c r="C20" s="192" t="s">
        <v>365</v>
      </c>
      <c r="D20" s="106">
        <v>1130.5</v>
      </c>
      <c r="E20" s="104">
        <v>4.7699999999999996</v>
      </c>
      <c r="F20" s="135">
        <v>4</v>
      </c>
      <c r="G20" s="71"/>
    </row>
    <row r="21" spans="2:7" ht="36.75" customHeight="1">
      <c r="B21" s="319"/>
      <c r="C21" s="192" t="s">
        <v>366</v>
      </c>
      <c r="D21" s="106">
        <v>327.51</v>
      </c>
      <c r="E21" s="104">
        <v>2.7</v>
      </c>
      <c r="F21" s="135">
        <v>3</v>
      </c>
      <c r="G21" s="71"/>
    </row>
    <row r="22" spans="2:7" ht="36.75" customHeight="1">
      <c r="B22" s="319"/>
      <c r="C22" s="192" t="s">
        <v>367</v>
      </c>
      <c r="D22" s="106">
        <v>1152.9000000000001</v>
      </c>
      <c r="E22" s="104">
        <v>9</v>
      </c>
      <c r="F22" s="135">
        <v>4</v>
      </c>
      <c r="G22" s="71"/>
    </row>
    <row r="23" spans="2:7" ht="36.75" customHeight="1">
      <c r="B23" s="319"/>
      <c r="C23" s="192" t="s">
        <v>367</v>
      </c>
      <c r="D23" s="106">
        <v>0</v>
      </c>
      <c r="E23" s="104">
        <v>2.7</v>
      </c>
      <c r="F23" s="135">
        <v>1</v>
      </c>
      <c r="G23" s="71"/>
    </row>
    <row r="24" spans="2:7" ht="36.75" customHeight="1">
      <c r="B24" s="319"/>
      <c r="C24" s="192" t="s">
        <v>368</v>
      </c>
      <c r="D24" s="106">
        <v>875.77</v>
      </c>
      <c r="E24" s="104">
        <v>4.7699999999999996</v>
      </c>
      <c r="F24" s="135">
        <v>5</v>
      </c>
      <c r="G24" s="71"/>
    </row>
    <row r="25" spans="2:7" ht="36.75" customHeight="1">
      <c r="B25" s="319"/>
      <c r="C25" s="192" t="s">
        <v>369</v>
      </c>
      <c r="D25" s="106">
        <v>146.44</v>
      </c>
      <c r="E25" s="104">
        <v>4.7699999999999996</v>
      </c>
      <c r="F25" s="135">
        <v>2</v>
      </c>
      <c r="G25" s="71"/>
    </row>
    <row r="26" spans="2:7" ht="36.75" customHeight="1">
      <c r="B26" s="319"/>
      <c r="C26" s="192" t="s">
        <v>370</v>
      </c>
      <c r="D26" s="106">
        <v>811.13</v>
      </c>
      <c r="E26" s="104">
        <v>4.7699999999999996</v>
      </c>
      <c r="F26" s="135">
        <v>6</v>
      </c>
      <c r="G26" s="71"/>
    </row>
    <row r="27" spans="2:7" ht="36.75" customHeight="1">
      <c r="B27" s="319"/>
      <c r="C27" s="192" t="s">
        <v>371</v>
      </c>
      <c r="D27" s="106">
        <v>4857.7700000000004</v>
      </c>
      <c r="E27" s="104">
        <v>4.7699999999999996</v>
      </c>
      <c r="F27" s="135">
        <v>2</v>
      </c>
      <c r="G27" s="71"/>
    </row>
    <row r="28" spans="2:7" ht="36.75" customHeight="1">
      <c r="B28" s="319"/>
      <c r="C28" s="192" t="s">
        <v>372</v>
      </c>
      <c r="D28" s="106">
        <v>317.44</v>
      </c>
      <c r="E28" s="104">
        <v>4.7699999999999996</v>
      </c>
      <c r="F28" s="135">
        <v>3</v>
      </c>
      <c r="G28" s="71"/>
    </row>
    <row r="29" spans="2:7" ht="36.75" customHeight="1">
      <c r="B29" s="319"/>
      <c r="C29" s="192" t="s">
        <v>373</v>
      </c>
      <c r="D29" s="106">
        <v>175.3</v>
      </c>
      <c r="E29" s="104">
        <v>4.7699999999999996</v>
      </c>
      <c r="F29" s="135">
        <v>1</v>
      </c>
      <c r="G29" s="71"/>
    </row>
    <row r="30" spans="2:7" ht="36.75" customHeight="1">
      <c r="B30" s="319"/>
      <c r="C30" s="192" t="s">
        <v>374</v>
      </c>
      <c r="D30" s="106">
        <v>1068.48</v>
      </c>
      <c r="E30" s="104">
        <v>4.7699999999999996</v>
      </c>
      <c r="F30" s="135">
        <v>2</v>
      </c>
      <c r="G30" s="71"/>
    </row>
    <row r="31" spans="2:7" ht="36.75" customHeight="1">
      <c r="B31" s="319"/>
      <c r="C31" s="192" t="s">
        <v>375</v>
      </c>
      <c r="D31" s="106">
        <v>1346.1</v>
      </c>
      <c r="E31" s="104">
        <v>4.7699999999999996</v>
      </c>
      <c r="F31" s="135">
        <v>6</v>
      </c>
      <c r="G31" s="71"/>
    </row>
    <row r="32" spans="2:7" ht="36.75" customHeight="1">
      <c r="B32" s="319"/>
      <c r="C32" s="192" t="s">
        <v>376</v>
      </c>
      <c r="D32" s="106">
        <v>851.92</v>
      </c>
      <c r="E32" s="104">
        <v>4.7699999999999996</v>
      </c>
      <c r="F32" s="135">
        <v>6</v>
      </c>
      <c r="G32" s="71"/>
    </row>
    <row r="33" spans="2:7" ht="36.75" customHeight="1">
      <c r="B33" s="319"/>
      <c r="C33" s="192" t="s">
        <v>377</v>
      </c>
      <c r="D33" s="106">
        <v>311.85000000000002</v>
      </c>
      <c r="E33" s="104">
        <v>2.7</v>
      </c>
      <c r="F33" s="135">
        <v>4</v>
      </c>
      <c r="G33" s="71"/>
    </row>
    <row r="34" spans="2:7" ht="36.75" customHeight="1">
      <c r="B34" s="319"/>
      <c r="C34" s="192" t="s">
        <v>378</v>
      </c>
      <c r="D34" s="106">
        <v>402.17</v>
      </c>
      <c r="E34" s="104">
        <v>2.7</v>
      </c>
      <c r="F34" s="135">
        <v>4</v>
      </c>
      <c r="G34" s="71"/>
    </row>
    <row r="35" spans="2:7" ht="36.75" customHeight="1">
      <c r="B35" s="319"/>
      <c r="C35" s="192" t="s">
        <v>379</v>
      </c>
      <c r="D35" s="106">
        <v>391.14</v>
      </c>
      <c r="E35" s="104">
        <v>4.7699999999999996</v>
      </c>
      <c r="F35" s="135">
        <v>3</v>
      </c>
      <c r="G35" s="71"/>
    </row>
    <row r="36" spans="2:7" ht="36.75" customHeight="1">
      <c r="B36" s="319"/>
      <c r="C36" s="192" t="s">
        <v>380</v>
      </c>
      <c r="D36" s="106">
        <v>577.03</v>
      </c>
      <c r="E36" s="104">
        <v>2.7</v>
      </c>
      <c r="F36" s="135">
        <v>4</v>
      </c>
      <c r="G36" s="71"/>
    </row>
    <row r="37" spans="2:7" ht="36.75" customHeight="1">
      <c r="B37" s="319"/>
      <c r="C37" s="192" t="s">
        <v>381</v>
      </c>
      <c r="D37" s="106">
        <v>584.28</v>
      </c>
      <c r="E37" s="104">
        <v>2.7</v>
      </c>
      <c r="F37" s="135">
        <v>6</v>
      </c>
      <c r="G37" s="71"/>
    </row>
    <row r="38" spans="2:7" ht="36.75" customHeight="1">
      <c r="B38" s="319"/>
      <c r="C38" s="192" t="s">
        <v>382</v>
      </c>
      <c r="D38" s="106">
        <v>405.4</v>
      </c>
      <c r="E38" s="104">
        <v>2.7</v>
      </c>
      <c r="F38" s="135">
        <v>7</v>
      </c>
      <c r="G38" s="71"/>
    </row>
    <row r="39" spans="2:7" ht="36.75" customHeight="1">
      <c r="B39" s="319"/>
      <c r="C39" s="192" t="s">
        <v>383</v>
      </c>
      <c r="D39" s="106">
        <v>0</v>
      </c>
      <c r="E39" s="104">
        <v>2.7</v>
      </c>
      <c r="F39" s="135">
        <v>1</v>
      </c>
      <c r="G39" s="71"/>
    </row>
    <row r="40" spans="2:7" ht="36.75" customHeight="1">
      <c r="B40" s="319"/>
      <c r="C40" s="192" t="s">
        <v>384</v>
      </c>
      <c r="D40" s="106">
        <v>2073.6</v>
      </c>
      <c r="E40" s="104">
        <v>2.7</v>
      </c>
      <c r="F40" s="135">
        <v>5</v>
      </c>
      <c r="G40" s="71"/>
    </row>
    <row r="41" spans="2:7" ht="36.75" customHeight="1">
      <c r="B41" s="319"/>
      <c r="C41" s="192" t="s">
        <v>385</v>
      </c>
      <c r="D41" s="106">
        <v>469.8</v>
      </c>
      <c r="E41" s="104">
        <v>2.7</v>
      </c>
      <c r="F41" s="135">
        <v>3</v>
      </c>
      <c r="G41" s="71"/>
    </row>
    <row r="42" spans="2:7" ht="36.75" customHeight="1">
      <c r="B42" s="319"/>
      <c r="C42" s="192" t="s">
        <v>385</v>
      </c>
      <c r="D42" s="106">
        <v>244.8</v>
      </c>
      <c r="E42" s="104">
        <v>9</v>
      </c>
      <c r="F42" s="135">
        <v>2</v>
      </c>
      <c r="G42" s="71"/>
    </row>
    <row r="43" spans="2:7" ht="36.75" customHeight="1">
      <c r="B43" s="319"/>
      <c r="C43" s="192" t="s">
        <v>386</v>
      </c>
      <c r="D43" s="106">
        <v>6625.71</v>
      </c>
      <c r="E43" s="104">
        <v>6.3</v>
      </c>
      <c r="F43" s="135">
        <v>6</v>
      </c>
      <c r="G43" s="71"/>
    </row>
    <row r="44" spans="2:7" ht="36.75" customHeight="1">
      <c r="B44" s="319"/>
      <c r="C44" s="192" t="s">
        <v>387</v>
      </c>
      <c r="D44" s="106">
        <v>1144.8</v>
      </c>
      <c r="E44" s="104">
        <v>4.7699999999999996</v>
      </c>
      <c r="F44" s="135">
        <v>2</v>
      </c>
      <c r="G44" s="71"/>
    </row>
    <row r="45" spans="2:7" ht="36.75" customHeight="1">
      <c r="B45" s="319"/>
      <c r="C45" s="192" t="s">
        <v>388</v>
      </c>
      <c r="D45" s="106">
        <v>1144.8</v>
      </c>
      <c r="E45" s="104">
        <v>4.7699999999999996</v>
      </c>
      <c r="F45" s="135">
        <v>2</v>
      </c>
      <c r="G45" s="71"/>
    </row>
    <row r="46" spans="2:7" ht="36.75" customHeight="1">
      <c r="B46" s="319"/>
      <c r="C46" s="192" t="s">
        <v>389</v>
      </c>
      <c r="D46" s="106">
        <v>288</v>
      </c>
      <c r="E46" s="104">
        <v>9</v>
      </c>
      <c r="F46" s="135">
        <v>2</v>
      </c>
      <c r="G46" s="71"/>
    </row>
    <row r="47" spans="2:7" ht="36.75" customHeight="1">
      <c r="B47" s="319"/>
      <c r="C47" s="192" t="s">
        <v>389</v>
      </c>
      <c r="D47" s="106">
        <v>58.59</v>
      </c>
      <c r="E47" s="104">
        <v>2.7</v>
      </c>
      <c r="F47" s="135">
        <v>2</v>
      </c>
      <c r="G47" s="71"/>
    </row>
    <row r="48" spans="2:7" ht="36.75" customHeight="1">
      <c r="B48" s="319"/>
      <c r="C48" s="192" t="s">
        <v>390</v>
      </c>
      <c r="D48" s="106">
        <v>51.84</v>
      </c>
      <c r="E48" s="104">
        <v>2.7</v>
      </c>
      <c r="F48" s="135">
        <v>1</v>
      </c>
      <c r="G48" s="71"/>
    </row>
    <row r="49" spans="2:7" ht="36.75" customHeight="1">
      <c r="B49" s="319"/>
      <c r="C49" s="192" t="s">
        <v>390</v>
      </c>
      <c r="D49" s="106">
        <v>576</v>
      </c>
      <c r="E49" s="104">
        <v>9</v>
      </c>
      <c r="F49" s="135">
        <v>1</v>
      </c>
      <c r="G49" s="71"/>
    </row>
    <row r="50" spans="2:7" ht="36.75" customHeight="1">
      <c r="B50" s="319"/>
      <c r="C50" s="192" t="s">
        <v>391</v>
      </c>
      <c r="D50" s="106">
        <v>76.14</v>
      </c>
      <c r="E50" s="104">
        <v>2.7</v>
      </c>
      <c r="F50" s="135">
        <v>1</v>
      </c>
      <c r="G50" s="71"/>
    </row>
    <row r="51" spans="2:7" ht="36.75" customHeight="1">
      <c r="B51" s="319"/>
      <c r="C51" s="192" t="s">
        <v>392</v>
      </c>
      <c r="D51" s="106">
        <v>2033.03</v>
      </c>
      <c r="E51" s="104">
        <v>4.7699999999999996</v>
      </c>
      <c r="F51" s="135">
        <v>3</v>
      </c>
      <c r="G51" s="71"/>
    </row>
    <row r="52" spans="2:7" ht="36.75" customHeight="1">
      <c r="B52" s="319"/>
      <c r="C52" s="192" t="s">
        <v>393</v>
      </c>
      <c r="D52" s="106">
        <v>2361.16</v>
      </c>
      <c r="E52" s="104">
        <v>4.7699999999999996</v>
      </c>
      <c r="F52" s="135">
        <v>2</v>
      </c>
      <c r="G52" s="71"/>
    </row>
    <row r="53" spans="2:7" ht="36.75" customHeight="1">
      <c r="B53" s="319"/>
      <c r="C53" s="192" t="s">
        <v>394</v>
      </c>
      <c r="D53" s="106">
        <v>2683.26</v>
      </c>
      <c r="E53" s="104">
        <v>4.7699999999999996</v>
      </c>
      <c r="F53" s="135">
        <v>3</v>
      </c>
      <c r="G53" s="71"/>
    </row>
    <row r="54" spans="2:7" ht="36.75" customHeight="1">
      <c r="B54" s="319"/>
      <c r="C54" s="192" t="s">
        <v>395</v>
      </c>
      <c r="D54" s="106">
        <v>534.24</v>
      </c>
      <c r="E54" s="104">
        <v>4.7699999999999996</v>
      </c>
      <c r="F54" s="135">
        <v>1</v>
      </c>
      <c r="G54" s="71"/>
    </row>
    <row r="55" spans="2:7" ht="36.75" customHeight="1">
      <c r="B55" s="319"/>
      <c r="C55" s="192" t="s">
        <v>396</v>
      </c>
      <c r="D55" s="106">
        <v>120.96</v>
      </c>
      <c r="E55" s="104">
        <v>2.7</v>
      </c>
      <c r="F55" s="135">
        <v>1</v>
      </c>
      <c r="G55" s="71"/>
    </row>
    <row r="56" spans="2:7" ht="36.75" customHeight="1">
      <c r="B56" s="319"/>
      <c r="C56" s="192" t="s">
        <v>397</v>
      </c>
      <c r="D56" s="106">
        <v>0</v>
      </c>
      <c r="E56" s="104">
        <v>2.7</v>
      </c>
      <c r="F56" s="135">
        <v>1</v>
      </c>
      <c r="G56" s="71"/>
    </row>
    <row r="57" spans="2:7" ht="36.75" customHeight="1">
      <c r="B57" s="319"/>
      <c r="C57" s="192" t="s">
        <v>398</v>
      </c>
      <c r="D57" s="106">
        <v>0</v>
      </c>
      <c r="E57" s="104">
        <v>2.7</v>
      </c>
      <c r="F57" s="135">
        <v>1</v>
      </c>
      <c r="G57" s="71"/>
    </row>
    <row r="58" spans="2:7" ht="36.75" customHeight="1">
      <c r="B58" s="319"/>
      <c r="C58" s="192" t="s">
        <v>399</v>
      </c>
      <c r="D58" s="106">
        <v>0</v>
      </c>
      <c r="E58" s="104">
        <v>2.7</v>
      </c>
      <c r="F58" s="135">
        <v>1</v>
      </c>
      <c r="G58" s="71"/>
    </row>
    <row r="59" spans="2:7" ht="36.75" customHeight="1">
      <c r="B59" s="319"/>
      <c r="C59" s="192" t="s">
        <v>400</v>
      </c>
      <c r="D59" s="106">
        <v>1067.1099999999999</v>
      </c>
      <c r="E59" s="104">
        <v>4.7699999999999996</v>
      </c>
      <c r="F59" s="135">
        <v>4</v>
      </c>
      <c r="G59" s="71"/>
    </row>
    <row r="60" spans="2:7" ht="36.75" customHeight="1">
      <c r="B60" s="319"/>
      <c r="C60" s="192" t="s">
        <v>401</v>
      </c>
      <c r="D60" s="106">
        <v>247.86</v>
      </c>
      <c r="E60" s="104">
        <v>2.7</v>
      </c>
      <c r="F60" s="135">
        <v>2</v>
      </c>
      <c r="G60" s="71"/>
    </row>
    <row r="61" spans="2:7" ht="36.75" customHeight="1">
      <c r="B61" s="319"/>
      <c r="C61" s="192" t="s">
        <v>402</v>
      </c>
      <c r="D61" s="106">
        <v>415.53</v>
      </c>
      <c r="E61" s="104">
        <v>2.7</v>
      </c>
      <c r="F61" s="135">
        <v>2</v>
      </c>
      <c r="G61" s="71"/>
    </row>
    <row r="62" spans="2:7" ht="36.75" customHeight="1">
      <c r="B62" s="319"/>
      <c r="C62" s="192" t="s">
        <v>403</v>
      </c>
      <c r="D62" s="106">
        <v>437.89</v>
      </c>
      <c r="E62" s="104">
        <v>4.7699999999999996</v>
      </c>
      <c r="F62" s="135">
        <v>2</v>
      </c>
      <c r="G62" s="71"/>
    </row>
    <row r="63" spans="2:7" ht="25.5" customHeight="1">
      <c r="B63" s="81" t="s">
        <v>70</v>
      </c>
      <c r="C63" s="192"/>
      <c r="D63" s="133">
        <f>SUM(D8:D62)</f>
        <v>53867.069999999985</v>
      </c>
      <c r="E63" s="133">
        <f>SUM(E8:E62)</f>
        <v>226.94999999999996</v>
      </c>
      <c r="F63" s="141">
        <f>SUM(F8:F62)</f>
        <v>159</v>
      </c>
      <c r="G63" s="83"/>
    </row>
    <row r="64" spans="2:7" ht="40.799999999999997" customHeight="1">
      <c r="B64" s="300" t="s">
        <v>71</v>
      </c>
      <c r="C64" s="192" t="s">
        <v>404</v>
      </c>
      <c r="D64" s="106">
        <v>1186.6199999999999</v>
      </c>
      <c r="E64" s="104">
        <v>25</v>
      </c>
      <c r="F64" s="135">
        <v>25</v>
      </c>
      <c r="G64" s="193" t="s">
        <v>405</v>
      </c>
    </row>
    <row r="65" spans="1:10" ht="44.4" customHeight="1">
      <c r="B65" s="301"/>
      <c r="C65" s="192" t="s">
        <v>404</v>
      </c>
      <c r="D65" s="106">
        <v>13.64</v>
      </c>
      <c r="E65" s="104">
        <v>4.96</v>
      </c>
      <c r="F65" s="135">
        <v>1</v>
      </c>
      <c r="G65" s="193" t="s">
        <v>405</v>
      </c>
    </row>
    <row r="66" spans="1:10" ht="40.799999999999997" customHeight="1">
      <c r="B66" s="301"/>
      <c r="C66" s="192" t="s">
        <v>406</v>
      </c>
      <c r="D66" s="106">
        <v>32.4</v>
      </c>
      <c r="E66" s="104">
        <v>6.2</v>
      </c>
      <c r="F66" s="135">
        <v>2</v>
      </c>
      <c r="G66" s="193" t="s">
        <v>405</v>
      </c>
    </row>
    <row r="67" spans="1:10" ht="43.2" customHeight="1">
      <c r="B67" s="301"/>
      <c r="C67" s="192" t="s">
        <v>407</v>
      </c>
      <c r="D67" s="106">
        <v>13.15</v>
      </c>
      <c r="E67" s="104">
        <v>4.96</v>
      </c>
      <c r="F67" s="135">
        <v>1</v>
      </c>
      <c r="G67" s="193" t="s">
        <v>405</v>
      </c>
    </row>
    <row r="68" spans="1:10" ht="42" customHeight="1">
      <c r="B68" s="301"/>
      <c r="C68" s="192" t="s">
        <v>407</v>
      </c>
      <c r="D68" s="106">
        <v>742.76</v>
      </c>
      <c r="E68" s="104">
        <v>25</v>
      </c>
      <c r="F68" s="135">
        <v>21</v>
      </c>
      <c r="G68" s="193" t="s">
        <v>405</v>
      </c>
    </row>
    <row r="69" spans="1:10" ht="25.5" customHeight="1">
      <c r="B69" s="87" t="s">
        <v>70</v>
      </c>
      <c r="C69" s="87"/>
      <c r="D69" s="133">
        <f>SUM(D64:D68)</f>
        <v>1988.5700000000002</v>
      </c>
      <c r="E69" s="133">
        <f>SUM(E64:E68)</f>
        <v>66.12</v>
      </c>
      <c r="F69" s="109">
        <f>SUM(F64:F68)</f>
        <v>50</v>
      </c>
      <c r="G69" s="83"/>
      <c r="H69" s="84"/>
      <c r="I69" s="84"/>
      <c r="J69" s="84"/>
    </row>
    <row r="70" spans="1:10" ht="31.5" customHeight="1">
      <c r="B70" s="322" t="s">
        <v>77</v>
      </c>
      <c r="C70" s="322"/>
      <c r="D70" s="322"/>
      <c r="E70" s="322"/>
      <c r="F70" s="322"/>
      <c r="G70" s="323"/>
    </row>
    <row r="71" spans="1:10" ht="53.25" customHeight="1">
      <c r="A71" s="8"/>
      <c r="B71" s="117" t="s">
        <v>9</v>
      </c>
      <c r="C71" s="117" t="s">
        <v>78</v>
      </c>
      <c r="D71" s="117" t="s">
        <v>11</v>
      </c>
      <c r="E71" s="117" t="s">
        <v>79</v>
      </c>
      <c r="F71" s="117" t="s">
        <v>2</v>
      </c>
      <c r="G71" s="118" t="s">
        <v>80</v>
      </c>
    </row>
    <row r="72" spans="1:10" ht="33" customHeight="1">
      <c r="B72" s="100" t="s">
        <v>81</v>
      </c>
      <c r="C72" s="96"/>
      <c r="D72" s="106">
        <v>0</v>
      </c>
      <c r="E72" s="106">
        <v>0</v>
      </c>
      <c r="F72" s="88">
        <v>0</v>
      </c>
      <c r="G72" s="196" t="s">
        <v>236</v>
      </c>
    </row>
    <row r="73" spans="1:10" ht="24.75" customHeight="1">
      <c r="B73" s="89" t="s">
        <v>70</v>
      </c>
      <c r="C73" s="94"/>
      <c r="D73" s="133">
        <f>D72</f>
        <v>0</v>
      </c>
      <c r="E73" s="133">
        <f>E72</f>
        <v>0</v>
      </c>
      <c r="F73" s="190">
        <f>F72</f>
        <v>0</v>
      </c>
      <c r="G73" s="92"/>
    </row>
    <row r="74" spans="1:10" ht="28.5" customHeight="1">
      <c r="B74" s="80" t="s">
        <v>82</v>
      </c>
      <c r="C74" s="194" t="s">
        <v>408</v>
      </c>
      <c r="D74" s="106">
        <v>2560</v>
      </c>
      <c r="E74" s="106">
        <v>2763</v>
      </c>
      <c r="F74" s="88">
        <v>56</v>
      </c>
      <c r="G74" s="92"/>
    </row>
    <row r="75" spans="1:10" ht="29.25" customHeight="1">
      <c r="B75" s="89" t="s">
        <v>70</v>
      </c>
      <c r="C75" s="94"/>
      <c r="D75" s="133">
        <f>SUM(D74)</f>
        <v>2560</v>
      </c>
      <c r="E75" s="133">
        <f>SUM(E74)</f>
        <v>2763</v>
      </c>
      <c r="F75" s="91">
        <f>SUM(F74)</f>
        <v>56</v>
      </c>
      <c r="G75" s="92"/>
    </row>
    <row r="76" spans="1:10" ht="24" customHeight="1">
      <c r="B76" s="100" t="s">
        <v>89</v>
      </c>
      <c r="C76" s="96"/>
      <c r="D76" s="106">
        <v>0</v>
      </c>
      <c r="E76" s="106">
        <v>0</v>
      </c>
      <c r="F76" s="88">
        <v>0</v>
      </c>
      <c r="G76" s="196" t="s">
        <v>236</v>
      </c>
    </row>
    <row r="77" spans="1:10" ht="27" customHeight="1">
      <c r="B77" s="89" t="s">
        <v>70</v>
      </c>
      <c r="C77" s="94"/>
      <c r="D77" s="133">
        <f>D76</f>
        <v>0</v>
      </c>
      <c r="E77" s="133">
        <f>E76</f>
        <v>0</v>
      </c>
      <c r="F77" s="190">
        <f>F76</f>
        <v>0</v>
      </c>
      <c r="G77" s="92"/>
    </row>
    <row r="78" spans="1:10" ht="27" customHeight="1">
      <c r="B78" s="100" t="s">
        <v>93</v>
      </c>
      <c r="C78" s="194" t="s">
        <v>409</v>
      </c>
      <c r="D78" s="103">
        <v>9262</v>
      </c>
      <c r="E78" s="106">
        <v>23172.080000000002</v>
      </c>
      <c r="F78" s="135">
        <v>1</v>
      </c>
      <c r="G78" s="195"/>
    </row>
    <row r="79" spans="1:10" ht="16.5" customHeight="1">
      <c r="B79" s="89" t="s">
        <v>70</v>
      </c>
      <c r="C79" s="94"/>
      <c r="D79" s="133">
        <f>SUM(D78)</f>
        <v>9262</v>
      </c>
      <c r="E79" s="133">
        <f>SUM(E78)</f>
        <v>23172.080000000002</v>
      </c>
      <c r="F79" s="91">
        <f>SUM(F78)</f>
        <v>1</v>
      </c>
      <c r="G79" s="92"/>
    </row>
    <row r="80" spans="1:10" ht="30.75" customHeight="1">
      <c r="B80" s="100" t="s">
        <v>96</v>
      </c>
      <c r="C80" s="97"/>
      <c r="D80" s="106">
        <v>0</v>
      </c>
      <c r="E80" s="106">
        <v>0</v>
      </c>
      <c r="F80" s="88">
        <v>0</v>
      </c>
      <c r="G80" s="196" t="s">
        <v>236</v>
      </c>
    </row>
    <row r="81" spans="2:7" ht="15.6">
      <c r="B81" s="89" t="s">
        <v>70</v>
      </c>
      <c r="C81" s="94"/>
      <c r="D81" s="133">
        <f>D80</f>
        <v>0</v>
      </c>
      <c r="E81" s="133">
        <f>E80</f>
        <v>0</v>
      </c>
      <c r="F81" s="190">
        <f>F80</f>
        <v>0</v>
      </c>
      <c r="G81" s="92"/>
    </row>
    <row r="82" spans="2:7" ht="17.25" customHeight="1">
      <c r="B82" s="321"/>
      <c r="C82" s="321"/>
      <c r="D82" s="321"/>
      <c r="E82" s="321"/>
      <c r="F82" s="321"/>
      <c r="G82" s="321"/>
    </row>
    <row r="83" spans="2:7" ht="33" customHeight="1">
      <c r="B83" s="87" t="s">
        <v>160</v>
      </c>
      <c r="C83" s="94"/>
      <c r="D83" s="189">
        <f>SUM(D63+D69+D73+D75+D77+D79+D81)</f>
        <v>67677.639999999985</v>
      </c>
      <c r="E83" s="189">
        <f>SUM(E63+E69+E73+E75+E77+E79+E81)</f>
        <v>26228.15</v>
      </c>
      <c r="F83" s="191">
        <f>SUM(F63+F69+F73+F75+F77+F79+F81)</f>
        <v>266</v>
      </c>
      <c r="G83" s="92"/>
    </row>
    <row r="84" spans="2:7">
      <c r="B84" s="79"/>
      <c r="C84" s="65"/>
      <c r="D84" s="65"/>
      <c r="E84" s="65"/>
      <c r="F84" s="65"/>
    </row>
    <row r="85" spans="2:7">
      <c r="B85" s="79"/>
      <c r="C85" s="65"/>
      <c r="D85" s="65"/>
      <c r="E85" s="65"/>
      <c r="F85" s="65"/>
    </row>
    <row r="86" spans="2:7">
      <c r="B86" s="98" t="s">
        <v>238</v>
      </c>
    </row>
    <row r="87" spans="2:7">
      <c r="B87" s="98"/>
    </row>
    <row r="88" spans="2:7">
      <c r="B88" s="99" t="s">
        <v>410</v>
      </c>
    </row>
    <row r="89" spans="2:7">
      <c r="B89" s="99" t="s">
        <v>411</v>
      </c>
    </row>
    <row r="90" spans="2:7">
      <c r="B90" s="99" t="s">
        <v>412</v>
      </c>
    </row>
    <row r="91" spans="2:7">
      <c r="B91" s="127"/>
    </row>
    <row r="92" spans="2:7">
      <c r="B92" t="s">
        <v>235</v>
      </c>
    </row>
    <row r="93" spans="2:7">
      <c r="B93" s="311"/>
      <c r="C93" s="311"/>
      <c r="D93" s="311"/>
    </row>
    <row r="94" spans="2:7">
      <c r="B94" t="s">
        <v>163</v>
      </c>
    </row>
    <row r="95" spans="2:7" ht="15.75" customHeight="1"/>
  </sheetData>
  <mergeCells count="8">
    <mergeCell ref="B82:G82"/>
    <mergeCell ref="B93:D93"/>
    <mergeCell ref="B4:G4"/>
    <mergeCell ref="B5:G5"/>
    <mergeCell ref="B6:G6"/>
    <mergeCell ref="B8:B62"/>
    <mergeCell ref="B64:B68"/>
    <mergeCell ref="B70:G7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BD67-4B97-484A-BB5F-CED0CCD61116}">
  <dimension ref="A1:J79"/>
  <sheetViews>
    <sheetView topLeftCell="A58" workbookViewId="0">
      <selection activeCell="G74" sqref="G74"/>
    </sheetView>
  </sheetViews>
  <sheetFormatPr defaultColWidth="9.21875" defaultRowHeight="14.4"/>
  <cols>
    <col min="1" max="1" width="3.44140625" customWidth="1"/>
    <col min="2" max="2" width="45.21875" customWidth="1"/>
    <col min="3" max="3" width="40.44140625" customWidth="1"/>
    <col min="4" max="4" width="16.5546875" customWidth="1"/>
    <col min="5" max="5" width="24.77734375" customWidth="1"/>
    <col min="6" max="6" width="15.44140625" customWidth="1"/>
    <col min="7" max="7" width="35.44140625" customWidth="1"/>
  </cols>
  <sheetData>
    <row r="1" spans="2:7" ht="30" customHeight="1">
      <c r="B1" s="142" t="s">
        <v>4</v>
      </c>
    </row>
    <row r="2" spans="2:7" ht="25.5" customHeight="1">
      <c r="B2" s="142" t="s">
        <v>5</v>
      </c>
      <c r="D2" s="143"/>
      <c r="E2" s="143"/>
    </row>
    <row r="3" spans="2:7" ht="12.75" customHeight="1">
      <c r="B3" s="142"/>
      <c r="D3" s="143"/>
      <c r="E3" s="143"/>
    </row>
    <row r="4" spans="2:7" ht="32.25" customHeight="1">
      <c r="B4" s="316" t="s">
        <v>413</v>
      </c>
      <c r="C4" s="316"/>
      <c r="D4" s="316"/>
      <c r="E4" s="316"/>
      <c r="F4" s="316"/>
      <c r="G4" s="316"/>
    </row>
    <row r="5" spans="2:7" ht="31.5" customHeight="1">
      <c r="B5" s="316" t="s">
        <v>414</v>
      </c>
      <c r="C5" s="316"/>
      <c r="D5" s="316"/>
      <c r="E5" s="316"/>
      <c r="F5" s="316"/>
      <c r="G5" s="316"/>
    </row>
    <row r="6" spans="2:7" ht="26.25" customHeight="1">
      <c r="B6" s="317" t="s">
        <v>8</v>
      </c>
      <c r="C6" s="317"/>
      <c r="D6" s="317"/>
      <c r="E6" s="317"/>
      <c r="F6" s="317"/>
      <c r="G6" s="317"/>
    </row>
    <row r="7" spans="2:7" ht="78" customHeight="1">
      <c r="B7" s="144" t="s">
        <v>9</v>
      </c>
      <c r="C7" s="197" t="s">
        <v>10</v>
      </c>
      <c r="D7" s="197" t="s">
        <v>11</v>
      </c>
      <c r="E7" s="197" t="s">
        <v>12</v>
      </c>
      <c r="F7" s="197" t="s">
        <v>2</v>
      </c>
      <c r="G7" s="198" t="s">
        <v>13</v>
      </c>
    </row>
    <row r="8" spans="2:7" ht="25.5" customHeight="1">
      <c r="B8" s="328" t="s">
        <v>14</v>
      </c>
      <c r="C8" s="319" t="s">
        <v>415</v>
      </c>
      <c r="D8" s="329">
        <f>189+274.05+274.5+302.4+37.8+815.62+167.4+82.35+607.5+49.95+94.5+985.5+75.6</f>
        <v>3956.1699999999996</v>
      </c>
      <c r="E8" s="222">
        <f>15*0.3</f>
        <v>4.5</v>
      </c>
      <c r="F8" s="227">
        <v>11</v>
      </c>
      <c r="G8" s="225"/>
    </row>
    <row r="9" spans="2:7" ht="33.75" customHeight="1">
      <c r="B9" s="328"/>
      <c r="C9" s="319"/>
      <c r="D9" s="329"/>
      <c r="E9" s="222">
        <f>6*0.3</f>
        <v>1.7999999999999998</v>
      </c>
      <c r="F9" s="227">
        <v>1</v>
      </c>
      <c r="G9" s="225"/>
    </row>
    <row r="10" spans="2:7" ht="41.4">
      <c r="B10" s="328"/>
      <c r="C10" s="225" t="s">
        <v>416</v>
      </c>
      <c r="D10" s="222">
        <f>200+708.75+315+1192.5+380.19+54+617.63+496.8+577.8+180.9+40.5</f>
        <v>4764.07</v>
      </c>
      <c r="E10" s="222">
        <f>15*0.3</f>
        <v>4.5</v>
      </c>
      <c r="F10" s="227">
        <v>10</v>
      </c>
      <c r="G10" s="225"/>
    </row>
    <row r="11" spans="2:7" ht="41.4">
      <c r="B11" s="328"/>
      <c r="C11" s="225" t="s">
        <v>417</v>
      </c>
      <c r="D11" s="222">
        <f>459.9+153+90.3+225.9+27</f>
        <v>956.09999999999991</v>
      </c>
      <c r="E11" s="222">
        <f>10*0.3</f>
        <v>3</v>
      </c>
      <c r="F11" s="227">
        <v>4</v>
      </c>
      <c r="G11" s="225"/>
    </row>
    <row r="12" spans="2:7" ht="25.5" customHeight="1">
      <c r="B12" s="328"/>
      <c r="C12" s="325" t="s">
        <v>418</v>
      </c>
      <c r="D12" s="326">
        <f>65.1+338.1+558.6+294.84+390.6+18+141.75+180+189+111.24+124.88+123.3+73.44</f>
        <v>2608.8500000000004</v>
      </c>
      <c r="E12" s="222">
        <f>10*0.3</f>
        <v>3</v>
      </c>
      <c r="F12" s="227">
        <v>9</v>
      </c>
      <c r="G12" s="225"/>
    </row>
    <row r="13" spans="2:7">
      <c r="B13" s="328"/>
      <c r="C13" s="325"/>
      <c r="D13" s="326"/>
      <c r="E13" s="222">
        <f>6*0.3</f>
        <v>1.7999999999999998</v>
      </c>
      <c r="F13" s="227">
        <v>3</v>
      </c>
      <c r="G13" s="225"/>
    </row>
    <row r="14" spans="2:7" ht="25.5" customHeight="1">
      <c r="B14" s="328"/>
      <c r="C14" s="325" t="s">
        <v>419</v>
      </c>
      <c r="D14" s="326">
        <f>157.5+63+78.75+22.32+96.6+781.2+202.5+66.6+83.7+45.9+27.9+32.63+457.5+16.74+16.74</f>
        <v>2149.58</v>
      </c>
      <c r="E14" s="222">
        <f>10*0.3</f>
        <v>3</v>
      </c>
      <c r="F14" s="227">
        <v>9</v>
      </c>
      <c r="G14" s="225"/>
    </row>
    <row r="15" spans="2:7">
      <c r="B15" s="328"/>
      <c r="C15" s="325"/>
      <c r="D15" s="326"/>
      <c r="E15" s="222">
        <v>6</v>
      </c>
      <c r="F15" s="227">
        <v>2</v>
      </c>
      <c r="G15" s="226"/>
    </row>
    <row r="16" spans="2:7">
      <c r="B16" s="328"/>
      <c r="C16" s="325"/>
      <c r="D16" s="326"/>
      <c r="E16" s="222">
        <f>6*0.3</f>
        <v>1.7999999999999998</v>
      </c>
      <c r="F16" s="227">
        <v>3</v>
      </c>
      <c r="G16" s="225"/>
    </row>
    <row r="17" spans="2:7" ht="30.75" customHeight="1">
      <c r="B17" s="328"/>
      <c r="C17" s="325"/>
      <c r="D17" s="326"/>
      <c r="E17" s="222">
        <v>15</v>
      </c>
      <c r="F17" s="227">
        <v>1</v>
      </c>
      <c r="G17" s="225"/>
    </row>
    <row r="18" spans="2:7" ht="38.25" customHeight="1">
      <c r="B18" s="328"/>
      <c r="C18" s="327" t="s">
        <v>420</v>
      </c>
      <c r="D18" s="326">
        <f>37.8+35.1+55.8+17.28+180+21.6+34.02+22.68+405+16.2</f>
        <v>825.48</v>
      </c>
      <c r="E18" s="222">
        <f>6*0.3</f>
        <v>1.7999999999999998</v>
      </c>
      <c r="F18" s="227">
        <v>8</v>
      </c>
      <c r="G18" s="225"/>
    </row>
    <row r="19" spans="2:7" ht="36.75" customHeight="1">
      <c r="B19" s="328"/>
      <c r="C19" s="327"/>
      <c r="D19" s="326"/>
      <c r="E19" s="222">
        <v>15</v>
      </c>
      <c r="F19" s="227">
        <v>1</v>
      </c>
      <c r="G19" s="225"/>
    </row>
    <row r="20" spans="2:7" ht="38.25" customHeight="1">
      <c r="B20" s="328"/>
      <c r="C20" s="325" t="s">
        <v>421</v>
      </c>
      <c r="D20" s="326">
        <f>40.2+81.9+142.8+153-4.32+1505.7+88.2+69.3+135+29.7+36+85.05+565.2+52.2+22.68+102.6</f>
        <v>3105.21</v>
      </c>
      <c r="E20" s="222">
        <f>10*0.3</f>
        <v>3</v>
      </c>
      <c r="F20" s="227">
        <v>11</v>
      </c>
      <c r="G20" s="225"/>
    </row>
    <row r="21" spans="2:7" ht="38.25" customHeight="1">
      <c r="B21" s="328"/>
      <c r="C21" s="325"/>
      <c r="D21" s="326"/>
      <c r="E21" s="222">
        <f>6*0.3</f>
        <v>1.7999999999999998</v>
      </c>
      <c r="F21" s="227">
        <v>1</v>
      </c>
      <c r="G21" s="225"/>
    </row>
    <row r="22" spans="2:7" ht="41.25" customHeight="1">
      <c r="B22" s="328"/>
      <c r="C22" s="325"/>
      <c r="D22" s="326"/>
      <c r="E22" s="222">
        <v>15</v>
      </c>
      <c r="F22" s="227">
        <v>1</v>
      </c>
      <c r="G22" s="225"/>
    </row>
    <row r="23" spans="2:7" ht="25.5" customHeight="1">
      <c r="B23" s="328"/>
      <c r="C23" s="325" t="s">
        <v>422</v>
      </c>
      <c r="D23" s="326">
        <f>130.2+23.76+210+59.92+22.68+72+18.36+41.85+103.95+57.6</f>
        <v>740.32</v>
      </c>
      <c r="E23" s="222">
        <f>10*0.3</f>
        <v>3</v>
      </c>
      <c r="F23" s="227">
        <v>3</v>
      </c>
      <c r="G23" s="225"/>
    </row>
    <row r="24" spans="2:7">
      <c r="B24" s="328"/>
      <c r="C24" s="325"/>
      <c r="D24" s="326"/>
      <c r="E24" s="222">
        <v>6</v>
      </c>
      <c r="F24" s="227">
        <v>3</v>
      </c>
      <c r="G24" s="226"/>
    </row>
    <row r="25" spans="2:7">
      <c r="B25" s="328"/>
      <c r="C25" s="325"/>
      <c r="D25" s="326"/>
      <c r="E25" s="222">
        <f>6*0.3</f>
        <v>1.7999999999999998</v>
      </c>
      <c r="F25" s="227">
        <v>4</v>
      </c>
      <c r="G25" s="225"/>
    </row>
    <row r="26" spans="2:7">
      <c r="B26" s="328"/>
      <c r="C26" s="325" t="s">
        <v>423</v>
      </c>
      <c r="D26" s="326">
        <f>204.12+13.25+72+57.6</f>
        <v>346.97</v>
      </c>
      <c r="E26" s="222">
        <f>10*0.3</f>
        <v>3</v>
      </c>
      <c r="F26" s="227">
        <v>2</v>
      </c>
      <c r="G26" s="225"/>
    </row>
    <row r="27" spans="2:7" ht="63.6" customHeight="1">
      <c r="B27" s="328"/>
      <c r="C27" s="325"/>
      <c r="D27" s="326"/>
      <c r="E27" s="222">
        <f>6*0.3</f>
        <v>1.7999999999999998</v>
      </c>
      <c r="F27" s="227">
        <v>2</v>
      </c>
      <c r="G27" s="225"/>
    </row>
    <row r="28" spans="2:7" ht="25.5" customHeight="1">
      <c r="B28" s="328"/>
      <c r="C28" s="325" t="s">
        <v>424</v>
      </c>
      <c r="D28" s="326">
        <f>764.82+120+18+164.43+17.82+164.43+398.7+151.2+34.2</f>
        <v>1833.6000000000001</v>
      </c>
      <c r="E28" s="222">
        <f>10*0.3</f>
        <v>3</v>
      </c>
      <c r="F28" s="227">
        <v>6</v>
      </c>
      <c r="G28" s="225"/>
    </row>
    <row r="29" spans="2:7" ht="59.4" customHeight="1">
      <c r="B29" s="328"/>
      <c r="C29" s="325"/>
      <c r="D29" s="326"/>
      <c r="E29" s="222">
        <f>6*0.3</f>
        <v>1.7999999999999998</v>
      </c>
      <c r="F29" s="108">
        <v>3</v>
      </c>
      <c r="G29" s="225"/>
    </row>
    <row r="30" spans="2:7" ht="63" customHeight="1">
      <c r="B30" s="328"/>
      <c r="C30" s="225" t="s">
        <v>425</v>
      </c>
      <c r="D30" s="222">
        <f>51.3+324+552.3+119.7+193.2+147+171.6+27+750+66+245.7+108+459+89.1+120.6</f>
        <v>3424.4999999999995</v>
      </c>
      <c r="E30" s="222">
        <f>10*0.3</f>
        <v>3</v>
      </c>
      <c r="F30" s="227">
        <v>11</v>
      </c>
      <c r="G30" s="225"/>
    </row>
    <row r="31" spans="2:7" ht="41.4">
      <c r="B31" s="328"/>
      <c r="C31" s="225" t="s">
        <v>426</v>
      </c>
      <c r="D31" s="222">
        <f>283.5+198.45+1286.33+1275.75+101+125.55+604.13+546.75+87.75+70.88+252.45</f>
        <v>4832.54</v>
      </c>
      <c r="E31" s="222">
        <f>15*0.3</f>
        <v>4.5</v>
      </c>
      <c r="F31" s="227">
        <v>11</v>
      </c>
      <c r="G31" s="225"/>
    </row>
    <row r="32" spans="2:7" ht="25.5" customHeight="1">
      <c r="B32" s="328"/>
      <c r="C32" s="325" t="s">
        <v>427</v>
      </c>
      <c r="D32" s="326">
        <f>1140.3+120+70.56+32.76+360+28.08+17.28+425.7+22.68</f>
        <v>2217.3599999999997</v>
      </c>
      <c r="E32" s="222">
        <f>10*0.3</f>
        <v>3</v>
      </c>
      <c r="F32" s="227">
        <v>4</v>
      </c>
      <c r="G32" s="225"/>
    </row>
    <row r="33" spans="2:10">
      <c r="B33" s="328"/>
      <c r="C33" s="325"/>
      <c r="D33" s="326"/>
      <c r="E33" s="222">
        <f>6*0.3</f>
        <v>1.7999999999999998</v>
      </c>
      <c r="F33" s="227">
        <v>5</v>
      </c>
      <c r="G33" s="225"/>
    </row>
    <row r="34" spans="2:10" ht="39" customHeight="1">
      <c r="B34" s="328"/>
      <c r="C34" s="325" t="s">
        <v>428</v>
      </c>
      <c r="D34" s="326">
        <f>37.8+36.54+126+180+75.6+16.2+9.72</f>
        <v>481.86000000000007</v>
      </c>
      <c r="E34" s="222">
        <f>6*0.3</f>
        <v>1.7999999999999998</v>
      </c>
      <c r="F34" s="227">
        <v>6</v>
      </c>
      <c r="G34" s="225"/>
    </row>
    <row r="35" spans="2:10" ht="33.75" customHeight="1">
      <c r="B35" s="328"/>
      <c r="C35" s="325"/>
      <c r="D35" s="326"/>
      <c r="E35" s="222">
        <v>15</v>
      </c>
      <c r="F35" s="227">
        <v>1</v>
      </c>
      <c r="G35" s="225"/>
    </row>
    <row r="36" spans="2:10" ht="25.5" customHeight="1">
      <c r="B36" s="328"/>
      <c r="C36" s="325" t="s">
        <v>429</v>
      </c>
      <c r="D36" s="326">
        <f>63-18.6+75.6+285.6+79.32+373.5+126+78.3+30.6+74.25+27.9+118.8+54+22.68+16.74+15.12+17.28+ 258.3+38.7</f>
        <v>1737.09</v>
      </c>
      <c r="E36" s="222">
        <f>10*0.3</f>
        <v>3</v>
      </c>
      <c r="F36" s="227">
        <v>9</v>
      </c>
      <c r="G36" s="225"/>
    </row>
    <row r="37" spans="2:10">
      <c r="B37" s="328"/>
      <c r="C37" s="325"/>
      <c r="D37" s="326"/>
      <c r="E37" s="222">
        <v>6</v>
      </c>
      <c r="F37" s="227">
        <v>4</v>
      </c>
      <c r="G37" s="226"/>
    </row>
    <row r="38" spans="2:10" ht="22.8" customHeight="1">
      <c r="B38" s="328"/>
      <c r="C38" s="325"/>
      <c r="D38" s="326"/>
      <c r="E38" s="222">
        <f>6*0.3</f>
        <v>1.7999999999999998</v>
      </c>
      <c r="F38" s="227">
        <v>5</v>
      </c>
      <c r="G38" s="225"/>
    </row>
    <row r="39" spans="2:10" ht="55.2">
      <c r="B39" s="328"/>
      <c r="C39" s="225" t="s">
        <v>430</v>
      </c>
      <c r="D39" s="222">
        <f>40.8+78.75+54.6+29.7+48.6</f>
        <v>252.45</v>
      </c>
      <c r="E39" s="222">
        <f>6*0.3</f>
        <v>1.7999999999999998</v>
      </c>
      <c r="F39" s="227">
        <v>5</v>
      </c>
      <c r="G39" s="225"/>
    </row>
    <row r="40" spans="2:10" ht="41.4">
      <c r="B40" s="328"/>
      <c r="C40" s="225" t="s">
        <v>431</v>
      </c>
      <c r="D40" s="222">
        <f>58.59+78.3+37.8+97.65+16.2+41.18+51.03</f>
        <v>380.75</v>
      </c>
      <c r="E40" s="222">
        <f>6*0.3</f>
        <v>1.7999999999999998</v>
      </c>
      <c r="F40" s="227">
        <v>6</v>
      </c>
      <c r="G40" s="225"/>
    </row>
    <row r="41" spans="2:10" ht="25.5" customHeight="1">
      <c r="B41" s="328"/>
      <c r="C41" s="325" t="s">
        <v>432</v>
      </c>
      <c r="D41" s="326">
        <f>63+286.65+23.76+210+82.35+109.8</f>
        <v>775.56</v>
      </c>
      <c r="E41" s="222">
        <f>10*0.3</f>
        <v>3</v>
      </c>
      <c r="F41" s="227">
        <v>3</v>
      </c>
      <c r="G41" s="225"/>
    </row>
    <row r="42" spans="2:10">
      <c r="B42" s="328"/>
      <c r="C42" s="325"/>
      <c r="D42" s="326"/>
      <c r="E42" s="222">
        <v>6</v>
      </c>
      <c r="F42" s="227">
        <v>2</v>
      </c>
      <c r="G42" s="226"/>
    </row>
    <row r="43" spans="2:10">
      <c r="B43" s="328"/>
      <c r="C43" s="325"/>
      <c r="D43" s="326"/>
      <c r="E43" s="222">
        <f>6*0.3</f>
        <v>1.7999999999999998</v>
      </c>
      <c r="F43" s="227">
        <v>1</v>
      </c>
      <c r="G43" s="225"/>
    </row>
    <row r="44" spans="2:10" ht="63" customHeight="1">
      <c r="B44" s="328"/>
      <c r="C44" s="225" t="s">
        <v>433</v>
      </c>
      <c r="D44" s="222">
        <f>158.1+280.35+63+84+16.5+33.75+47.7+121.5</f>
        <v>804.90000000000009</v>
      </c>
      <c r="E44" s="222">
        <f>10*0.3</f>
        <v>3</v>
      </c>
      <c r="F44" s="227">
        <v>8</v>
      </c>
      <c r="G44" s="225"/>
    </row>
    <row r="45" spans="2:10" ht="25.5" customHeight="1">
      <c r="B45" s="149" t="s">
        <v>70</v>
      </c>
      <c r="C45" s="114"/>
      <c r="D45" s="199">
        <f>SUM(D8:D44)</f>
        <v>36193.359999999993</v>
      </c>
      <c r="E45" s="199">
        <f>SUM(E8:E44)</f>
        <v>158.70000000000005</v>
      </c>
      <c r="F45" s="200">
        <f>SUM(F8:F44)</f>
        <v>179</v>
      </c>
      <c r="G45" s="201"/>
    </row>
    <row r="46" spans="2:10" ht="36" customHeight="1">
      <c r="B46" s="319" t="s">
        <v>71</v>
      </c>
      <c r="C46" s="173" t="s">
        <v>434</v>
      </c>
      <c r="D46" s="202" t="s">
        <v>435</v>
      </c>
      <c r="E46" s="203">
        <v>25</v>
      </c>
      <c r="F46" s="204">
        <v>7</v>
      </c>
      <c r="G46" s="205" t="s">
        <v>436</v>
      </c>
    </row>
    <row r="47" spans="2:10" ht="41.25" customHeight="1">
      <c r="B47" s="319"/>
      <c r="C47" s="206" t="s">
        <v>437</v>
      </c>
      <c r="D47" s="207">
        <v>566.5</v>
      </c>
      <c r="E47" s="207">
        <v>37</v>
      </c>
      <c r="F47" s="208">
        <v>4</v>
      </c>
      <c r="G47" s="209" t="s">
        <v>436</v>
      </c>
    </row>
    <row r="48" spans="2:10" ht="37.5" customHeight="1">
      <c r="B48" s="319"/>
      <c r="C48" s="73" t="s">
        <v>438</v>
      </c>
      <c r="D48" s="210">
        <v>224.5</v>
      </c>
      <c r="E48" s="203">
        <v>37</v>
      </c>
      <c r="F48" s="211">
        <v>6</v>
      </c>
      <c r="G48" s="209" t="s">
        <v>436</v>
      </c>
      <c r="H48" s="150"/>
      <c r="I48" s="150"/>
      <c r="J48" s="150"/>
    </row>
    <row r="49" spans="1:10" ht="25.5" customHeight="1">
      <c r="B49" s="151" t="s">
        <v>70</v>
      </c>
      <c r="C49" s="212"/>
      <c r="D49" s="213">
        <f>SUM(D46:D48)</f>
        <v>791</v>
      </c>
      <c r="E49" s="213">
        <f>SUM(E46:E48)</f>
        <v>99</v>
      </c>
      <c r="F49" s="214">
        <f>SUM(F46:F48)</f>
        <v>17</v>
      </c>
      <c r="G49" s="148"/>
      <c r="H49" s="150"/>
      <c r="I49" s="150"/>
      <c r="J49" s="150"/>
    </row>
    <row r="50" spans="1:10" ht="31.5" customHeight="1">
      <c r="B50" s="320" t="s">
        <v>77</v>
      </c>
      <c r="C50" s="320"/>
      <c r="D50" s="320"/>
      <c r="E50" s="320"/>
      <c r="F50" s="320"/>
      <c r="G50" s="320"/>
    </row>
    <row r="51" spans="1:10" ht="53.25" customHeight="1">
      <c r="A51" s="8"/>
      <c r="B51" s="145" t="s">
        <v>9</v>
      </c>
      <c r="C51" s="145" t="s">
        <v>78</v>
      </c>
      <c r="D51" s="145" t="s">
        <v>11</v>
      </c>
      <c r="E51" s="145" t="s">
        <v>79</v>
      </c>
      <c r="F51" s="145" t="s">
        <v>2</v>
      </c>
      <c r="G51" s="146" t="s">
        <v>80</v>
      </c>
    </row>
    <row r="52" spans="1:10" ht="33" customHeight="1">
      <c r="B52" s="100" t="s">
        <v>81</v>
      </c>
      <c r="C52" s="152" t="s">
        <v>439</v>
      </c>
      <c r="D52" s="210">
        <v>882</v>
      </c>
      <c r="E52" s="210">
        <v>1764</v>
      </c>
      <c r="F52" s="154">
        <v>1</v>
      </c>
      <c r="G52" s="92"/>
    </row>
    <row r="53" spans="1:10" ht="24.75" customHeight="1">
      <c r="B53" s="155" t="s">
        <v>70</v>
      </c>
      <c r="C53" s="156"/>
      <c r="D53" s="213">
        <f>SUM(D52:D52)</f>
        <v>882</v>
      </c>
      <c r="E53" s="213">
        <f>SUM(E52:E52)</f>
        <v>1764</v>
      </c>
      <c r="F53" s="214">
        <f>SUM(F52:F52)</f>
        <v>1</v>
      </c>
      <c r="G53" s="92"/>
    </row>
    <row r="54" spans="1:10" ht="28.5" customHeight="1">
      <c r="B54" s="314" t="s">
        <v>82</v>
      </c>
      <c r="C54" s="215" t="s">
        <v>440</v>
      </c>
      <c r="D54" s="216">
        <v>840</v>
      </c>
      <c r="E54" s="217">
        <v>840</v>
      </c>
      <c r="F54" s="218">
        <v>18</v>
      </c>
      <c r="G54" s="219"/>
    </row>
    <row r="55" spans="1:10" ht="28.5" customHeight="1">
      <c r="B55" s="314"/>
      <c r="C55" s="152" t="s">
        <v>441</v>
      </c>
      <c r="D55" s="220">
        <v>2322</v>
      </c>
      <c r="E55" s="221">
        <v>2376</v>
      </c>
      <c r="F55" s="154">
        <v>66</v>
      </c>
      <c r="G55" s="230" t="s">
        <v>442</v>
      </c>
    </row>
    <row r="56" spans="1:10" ht="28.5" customHeight="1">
      <c r="B56" s="314"/>
      <c r="C56" s="152" t="s">
        <v>443</v>
      </c>
      <c r="D56" s="220">
        <v>960</v>
      </c>
      <c r="E56" s="221">
        <v>960</v>
      </c>
      <c r="F56" s="154">
        <v>20</v>
      </c>
      <c r="G56" s="230"/>
    </row>
    <row r="57" spans="1:10" ht="45" customHeight="1">
      <c r="B57" s="314"/>
      <c r="C57" s="152" t="s">
        <v>444</v>
      </c>
      <c r="D57" s="220">
        <v>612.5</v>
      </c>
      <c r="E57" s="221">
        <v>650</v>
      </c>
      <c r="F57" s="154">
        <v>10</v>
      </c>
      <c r="G57" s="231" t="s">
        <v>445</v>
      </c>
    </row>
    <row r="58" spans="1:10" ht="42.75" customHeight="1">
      <c r="B58" s="314"/>
      <c r="C58" s="152" t="s">
        <v>446</v>
      </c>
      <c r="D58" s="210">
        <v>0</v>
      </c>
      <c r="E58" s="222">
        <v>0</v>
      </c>
      <c r="F58" s="154">
        <v>0</v>
      </c>
      <c r="G58" s="231" t="s">
        <v>447</v>
      </c>
    </row>
    <row r="59" spans="1:10" ht="29.25" customHeight="1">
      <c r="B59" s="155" t="s">
        <v>70</v>
      </c>
      <c r="C59" s="228"/>
      <c r="D59" s="213">
        <f>SUM(D54:D58)</f>
        <v>4734.5</v>
      </c>
      <c r="E59" s="213">
        <f>SUM(E54:E58)</f>
        <v>4826</v>
      </c>
      <c r="F59" s="214">
        <f>SUM(F54:F58)</f>
        <v>114</v>
      </c>
      <c r="G59" s="92"/>
    </row>
    <row r="60" spans="1:10" ht="24" customHeight="1">
      <c r="B60" s="113" t="s">
        <v>89</v>
      </c>
      <c r="C60" s="215"/>
      <c r="D60" s="223">
        <v>0</v>
      </c>
      <c r="E60" s="223">
        <v>0</v>
      </c>
      <c r="F60" s="232">
        <v>0</v>
      </c>
      <c r="G60" s="196" t="s">
        <v>236</v>
      </c>
    </row>
    <row r="61" spans="1:10" ht="27" customHeight="1">
      <c r="B61" s="155" t="s">
        <v>70</v>
      </c>
      <c r="C61" s="156"/>
      <c r="D61" s="199">
        <f>SUM(D60:D60)</f>
        <v>0</v>
      </c>
      <c r="E61" s="199">
        <f>SUM(E60:E60)</f>
        <v>0</v>
      </c>
      <c r="F61" s="200">
        <f>SUM(F60:F60)</f>
        <v>0</v>
      </c>
      <c r="G61" s="92"/>
    </row>
    <row r="62" spans="1:10" ht="27" customHeight="1">
      <c r="B62" s="100" t="s">
        <v>93</v>
      </c>
      <c r="C62" s="156"/>
      <c r="D62" s="210">
        <v>0</v>
      </c>
      <c r="E62" s="210">
        <v>0</v>
      </c>
      <c r="F62" s="154">
        <v>0</v>
      </c>
      <c r="G62" s="196" t="s">
        <v>236</v>
      </c>
    </row>
    <row r="63" spans="1:10" ht="16.5" customHeight="1">
      <c r="B63" s="155" t="s">
        <v>70</v>
      </c>
      <c r="C63" s="156"/>
      <c r="D63" s="199">
        <f>SUM(D62:D62)</f>
        <v>0</v>
      </c>
      <c r="E63" s="199">
        <f>SUM(E62:E62)</f>
        <v>0</v>
      </c>
      <c r="F63" s="200">
        <f>SUM(F62:F62)</f>
        <v>0</v>
      </c>
      <c r="G63" s="92"/>
    </row>
    <row r="64" spans="1:10" ht="30.75" customHeight="1">
      <c r="B64" s="100" t="s">
        <v>96</v>
      </c>
      <c r="C64" s="162"/>
      <c r="D64" s="210">
        <v>0</v>
      </c>
      <c r="E64" s="210">
        <v>0</v>
      </c>
      <c r="F64" s="154">
        <v>0</v>
      </c>
      <c r="G64" s="196" t="s">
        <v>236</v>
      </c>
    </row>
    <row r="65" spans="2:7" ht="15.6">
      <c r="B65" s="155" t="s">
        <v>70</v>
      </c>
      <c r="C65" s="156"/>
      <c r="D65" s="199">
        <f>SUM(D64:D64)</f>
        <v>0</v>
      </c>
      <c r="E65" s="199">
        <f>SUM(E64:E64)</f>
        <v>0</v>
      </c>
      <c r="F65" s="200">
        <f>SUM(F64:F64)</f>
        <v>0</v>
      </c>
      <c r="G65" s="92"/>
    </row>
    <row r="66" spans="2:7" ht="17.25" customHeight="1">
      <c r="B66" s="324"/>
      <c r="C66" s="324"/>
      <c r="D66" s="324"/>
      <c r="E66" s="324"/>
      <c r="F66" s="324"/>
      <c r="G66" s="324"/>
    </row>
    <row r="67" spans="2:7" ht="33" customHeight="1">
      <c r="B67" s="155" t="s">
        <v>293</v>
      </c>
      <c r="C67" s="156"/>
      <c r="D67" s="169">
        <f>SUM(D45+D49+D53+D59+D61+D63+D65)</f>
        <v>42600.859999999993</v>
      </c>
      <c r="E67" s="169">
        <f>SUM(E45+E49+E53+E59+E61+E63+E65)</f>
        <v>6847.7</v>
      </c>
      <c r="F67" s="175">
        <f>SUM(F45+F49+F53+F59+F61+F63+F65)</f>
        <v>311</v>
      </c>
      <c r="G67" s="92"/>
    </row>
    <row r="68" spans="2:7">
      <c r="B68" s="79"/>
      <c r="C68" s="65"/>
      <c r="D68" s="65"/>
      <c r="E68" s="65"/>
      <c r="F68" s="65"/>
    </row>
    <row r="69" spans="2:7" ht="15" customHeight="1">
      <c r="B69" s="79"/>
      <c r="C69" s="65"/>
      <c r="D69" s="65"/>
      <c r="E69" s="65"/>
      <c r="F69" s="65"/>
    </row>
    <row r="70" spans="2:7">
      <c r="B70" s="98" t="s">
        <v>238</v>
      </c>
    </row>
    <row r="71" spans="2:7">
      <c r="B71" s="98"/>
    </row>
    <row r="72" spans="2:7" ht="15" customHeight="1">
      <c r="B72" s="99" t="s">
        <v>450</v>
      </c>
    </row>
    <row r="73" spans="2:7">
      <c r="B73" s="99" t="s">
        <v>448</v>
      </c>
    </row>
    <row r="74" spans="2:7" ht="18.600000000000001" customHeight="1">
      <c r="B74" s="99" t="s">
        <v>449</v>
      </c>
    </row>
    <row r="75" spans="2:7">
      <c r="B75" s="127"/>
    </row>
    <row r="76" spans="2:7">
      <c r="B76" t="s">
        <v>99</v>
      </c>
    </row>
    <row r="77" spans="2:7">
      <c r="B77" s="311"/>
      <c r="C77" s="311"/>
      <c r="D77" s="311"/>
    </row>
    <row r="78" spans="2:7">
      <c r="B78" s="224" t="s">
        <v>163</v>
      </c>
      <c r="C78" s="224"/>
    </row>
    <row r="79" spans="2:7" ht="15.75" customHeight="1"/>
  </sheetData>
  <mergeCells count="33">
    <mergeCell ref="B4:G4"/>
    <mergeCell ref="B5:G5"/>
    <mergeCell ref="B6:G6"/>
    <mergeCell ref="B8:B44"/>
    <mergeCell ref="C8:C9"/>
    <mergeCell ref="D8:D9"/>
    <mergeCell ref="C12:C13"/>
    <mergeCell ref="D12:D13"/>
    <mergeCell ref="C14:C17"/>
    <mergeCell ref="D14:D17"/>
    <mergeCell ref="C18:C19"/>
    <mergeCell ref="D18:D19"/>
    <mergeCell ref="C20:C22"/>
    <mergeCell ref="D20:D22"/>
    <mergeCell ref="C23:C25"/>
    <mergeCell ref="D23:D25"/>
    <mergeCell ref="C26:C27"/>
    <mergeCell ref="D26:D27"/>
    <mergeCell ref="C28:C29"/>
    <mergeCell ref="D28:D29"/>
    <mergeCell ref="C32:C33"/>
    <mergeCell ref="D32:D33"/>
    <mergeCell ref="C34:C35"/>
    <mergeCell ref="D34:D35"/>
    <mergeCell ref="C36:C38"/>
    <mergeCell ref="D36:D38"/>
    <mergeCell ref="C41:C43"/>
    <mergeCell ref="D41:D43"/>
    <mergeCell ref="B46:B48"/>
    <mergeCell ref="B50:G50"/>
    <mergeCell ref="B54:B58"/>
    <mergeCell ref="B66:G66"/>
    <mergeCell ref="B77:D7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325B-8017-4D36-9D7B-0B5B67CFB3F9}">
  <dimension ref="B1:P118"/>
  <sheetViews>
    <sheetView topLeftCell="A101" workbookViewId="0">
      <selection activeCell="B111" sqref="B111"/>
    </sheetView>
  </sheetViews>
  <sheetFormatPr defaultColWidth="9.109375" defaultRowHeight="14.4"/>
  <cols>
    <col min="1" max="1" width="3.44140625" customWidth="1"/>
    <col min="2" max="2" width="41.109375" customWidth="1"/>
    <col min="3" max="3" width="33.88671875" customWidth="1"/>
    <col min="4" max="4" width="16.6640625" customWidth="1"/>
    <col min="5" max="5" width="18.33203125" customWidth="1"/>
    <col min="6" max="6" width="11.33203125" customWidth="1"/>
    <col min="7" max="7" width="48.5546875" customWidth="1"/>
    <col min="8" max="8" width="16" customWidth="1"/>
  </cols>
  <sheetData>
    <row r="1" spans="2:9" ht="30" customHeight="1">
      <c r="B1" s="142" t="s">
        <v>4</v>
      </c>
    </row>
    <row r="2" spans="2:9" ht="25.5" customHeight="1">
      <c r="B2" s="142" t="s">
        <v>5</v>
      </c>
      <c r="D2" s="143"/>
      <c r="E2" s="143"/>
    </row>
    <row r="3" spans="2:9" ht="12.75" customHeight="1">
      <c r="B3" s="142"/>
      <c r="D3" s="143"/>
      <c r="E3" s="143"/>
    </row>
    <row r="4" spans="2:9" ht="26.25" customHeight="1">
      <c r="B4" s="333" t="s">
        <v>104</v>
      </c>
      <c r="C4" s="333"/>
      <c r="D4" s="333"/>
      <c r="E4" s="333"/>
      <c r="F4" s="333"/>
      <c r="G4" s="333"/>
    </row>
    <row r="5" spans="2:9" ht="24" customHeight="1">
      <c r="B5" s="316" t="s">
        <v>451</v>
      </c>
      <c r="C5" s="316"/>
      <c r="D5" s="316"/>
      <c r="E5" s="316"/>
      <c r="F5" s="316"/>
      <c r="G5" s="316"/>
    </row>
    <row r="6" spans="2:9" ht="26.25" customHeight="1">
      <c r="B6" s="334" t="s">
        <v>8</v>
      </c>
      <c r="C6" s="334"/>
      <c r="D6" s="334"/>
      <c r="E6" s="334"/>
      <c r="F6" s="334"/>
      <c r="G6" s="334"/>
    </row>
    <row r="7" spans="2:9" ht="97.5" customHeight="1">
      <c r="B7" s="147" t="s">
        <v>9</v>
      </c>
      <c r="C7" s="212" t="s">
        <v>10</v>
      </c>
      <c r="D7" s="212" t="s">
        <v>11</v>
      </c>
      <c r="E7" s="212" t="s">
        <v>12</v>
      </c>
      <c r="F7" s="212" t="s">
        <v>2</v>
      </c>
      <c r="G7" s="212" t="s">
        <v>13</v>
      </c>
      <c r="I7" s="233"/>
    </row>
    <row r="8" spans="2:9" ht="31.5" customHeight="1">
      <c r="B8" s="335" t="s">
        <v>14</v>
      </c>
      <c r="C8" s="73" t="s">
        <v>452</v>
      </c>
      <c r="D8" s="106">
        <v>1386.8</v>
      </c>
      <c r="E8" s="165">
        <v>10</v>
      </c>
      <c r="F8" s="154">
        <v>14</v>
      </c>
      <c r="G8" s="234"/>
      <c r="I8" s="235"/>
    </row>
    <row r="9" spans="2:9" ht="31.5" customHeight="1">
      <c r="B9" s="335"/>
      <c r="C9" s="73" t="s">
        <v>453</v>
      </c>
      <c r="D9" s="106">
        <v>176.65</v>
      </c>
      <c r="E9" s="165">
        <v>6</v>
      </c>
      <c r="F9" s="154">
        <v>7</v>
      </c>
      <c r="G9" s="234"/>
      <c r="I9" s="235"/>
    </row>
    <row r="10" spans="2:9" ht="31.5" customHeight="1">
      <c r="B10" s="335"/>
      <c r="C10" s="173" t="s">
        <v>454</v>
      </c>
      <c r="D10" s="106">
        <v>663.42</v>
      </c>
      <c r="E10" s="165">
        <v>10</v>
      </c>
      <c r="F10" s="154">
        <v>8</v>
      </c>
      <c r="G10" s="234"/>
    </row>
    <row r="11" spans="2:9" ht="31.5" customHeight="1">
      <c r="B11" s="335"/>
      <c r="C11" s="173" t="s">
        <v>455</v>
      </c>
      <c r="D11" s="106">
        <v>112.5</v>
      </c>
      <c r="E11" s="165">
        <v>6</v>
      </c>
      <c r="F11" s="154">
        <v>1</v>
      </c>
      <c r="G11" s="234"/>
    </row>
    <row r="12" spans="2:9" ht="31.5" customHeight="1">
      <c r="B12" s="335"/>
      <c r="C12" s="73" t="s">
        <v>456</v>
      </c>
      <c r="D12" s="165">
        <v>3363.58</v>
      </c>
      <c r="E12" s="165">
        <v>10</v>
      </c>
      <c r="F12" s="154">
        <v>14</v>
      </c>
      <c r="G12" s="234"/>
    </row>
    <row r="13" spans="2:9" ht="31.5" customHeight="1">
      <c r="B13" s="335"/>
      <c r="C13" s="73" t="s">
        <v>457</v>
      </c>
      <c r="D13" s="165">
        <v>0</v>
      </c>
      <c r="E13" s="165">
        <v>6</v>
      </c>
      <c r="F13" s="154">
        <v>0</v>
      </c>
      <c r="G13" s="164" t="s">
        <v>236</v>
      </c>
    </row>
    <row r="14" spans="2:9" ht="31.5" customHeight="1">
      <c r="B14" s="335"/>
      <c r="C14" s="73" t="s">
        <v>458</v>
      </c>
      <c r="D14" s="106">
        <v>3134.87</v>
      </c>
      <c r="E14" s="165">
        <v>10</v>
      </c>
      <c r="F14" s="154">
        <v>21</v>
      </c>
      <c r="G14" s="234"/>
    </row>
    <row r="15" spans="2:9" ht="31.5" customHeight="1">
      <c r="B15" s="335"/>
      <c r="C15" s="73" t="s">
        <v>459</v>
      </c>
      <c r="D15" s="106">
        <v>2562.48</v>
      </c>
      <c r="E15" s="165">
        <v>6</v>
      </c>
      <c r="F15" s="154">
        <v>16</v>
      </c>
      <c r="G15" s="234"/>
    </row>
    <row r="16" spans="2:9" ht="31.5" customHeight="1">
      <c r="B16" s="335"/>
      <c r="C16" s="73" t="s">
        <v>460</v>
      </c>
      <c r="D16" s="106">
        <v>177</v>
      </c>
      <c r="E16" s="165">
        <v>10</v>
      </c>
      <c r="F16" s="154">
        <v>2</v>
      </c>
      <c r="G16" s="146"/>
    </row>
    <row r="17" spans="2:9" ht="31.5" customHeight="1">
      <c r="B17" s="335"/>
      <c r="C17" s="73" t="s">
        <v>461</v>
      </c>
      <c r="D17" s="106">
        <v>531</v>
      </c>
      <c r="E17" s="165">
        <v>15</v>
      </c>
      <c r="F17" s="154">
        <v>2</v>
      </c>
      <c r="G17" s="146"/>
    </row>
    <row r="18" spans="2:9" ht="31.5" customHeight="1">
      <c r="B18" s="335"/>
      <c r="C18" s="73" t="s">
        <v>462</v>
      </c>
      <c r="D18" s="106">
        <v>900.25</v>
      </c>
      <c r="E18" s="165">
        <v>10</v>
      </c>
      <c r="F18" s="154">
        <v>17</v>
      </c>
      <c r="G18" s="234"/>
      <c r="H18" s="236"/>
    </row>
    <row r="19" spans="2:9" ht="31.5" customHeight="1">
      <c r="B19" s="335"/>
      <c r="C19" s="73" t="s">
        <v>463</v>
      </c>
      <c r="D19" s="106">
        <v>1104.23</v>
      </c>
      <c r="E19" s="165">
        <v>6</v>
      </c>
      <c r="F19" s="154">
        <v>35</v>
      </c>
      <c r="G19" s="234"/>
      <c r="H19" s="236"/>
    </row>
    <row r="20" spans="2:9" ht="31.5" customHeight="1">
      <c r="B20" s="335"/>
      <c r="C20" s="73" t="s">
        <v>464</v>
      </c>
      <c r="D20" s="106">
        <v>1545.34</v>
      </c>
      <c r="E20" s="165">
        <v>10</v>
      </c>
      <c r="F20" s="154">
        <v>25</v>
      </c>
      <c r="G20" s="234"/>
    </row>
    <row r="21" spans="2:9" ht="36" customHeight="1">
      <c r="B21" s="335"/>
      <c r="C21" s="73" t="s">
        <v>465</v>
      </c>
      <c r="D21" s="106">
        <v>867.9</v>
      </c>
      <c r="E21" s="165">
        <v>6</v>
      </c>
      <c r="F21" s="154">
        <v>26</v>
      </c>
      <c r="G21" s="234"/>
    </row>
    <row r="22" spans="2:9" ht="48.75" customHeight="1">
      <c r="B22" s="335"/>
      <c r="C22" s="73" t="s">
        <v>466</v>
      </c>
      <c r="D22" s="165">
        <v>0</v>
      </c>
      <c r="E22" s="165">
        <v>10</v>
      </c>
      <c r="F22" s="154">
        <v>0</v>
      </c>
      <c r="G22" s="164" t="s">
        <v>236</v>
      </c>
    </row>
    <row r="23" spans="2:9" ht="51.75" customHeight="1">
      <c r="B23" s="335"/>
      <c r="C23" s="73" t="s">
        <v>467</v>
      </c>
      <c r="D23" s="106">
        <v>90</v>
      </c>
      <c r="E23" s="165">
        <v>15</v>
      </c>
      <c r="F23" s="154">
        <v>1</v>
      </c>
      <c r="G23" s="146"/>
    </row>
    <row r="24" spans="2:9" ht="39" customHeight="1">
      <c r="B24" s="335"/>
      <c r="C24" s="73" t="s">
        <v>468</v>
      </c>
      <c r="D24" s="106">
        <v>4837.84</v>
      </c>
      <c r="E24" s="165">
        <v>10</v>
      </c>
      <c r="F24" s="154">
        <v>22</v>
      </c>
      <c r="G24" s="92"/>
      <c r="I24" s="235"/>
    </row>
    <row r="25" spans="2:9" ht="31.5" customHeight="1">
      <c r="B25" s="335"/>
      <c r="C25" s="73" t="s">
        <v>469</v>
      </c>
      <c r="D25" s="165">
        <v>0</v>
      </c>
      <c r="E25" s="165">
        <v>6</v>
      </c>
      <c r="F25" s="154">
        <v>0</v>
      </c>
      <c r="G25" s="164" t="s">
        <v>236</v>
      </c>
    </row>
    <row r="26" spans="2:9" ht="31.5" customHeight="1">
      <c r="B26" s="335"/>
      <c r="C26" s="73" t="s">
        <v>470</v>
      </c>
      <c r="D26" s="106">
        <v>1173.06</v>
      </c>
      <c r="E26" s="165">
        <v>10</v>
      </c>
      <c r="F26" s="154">
        <v>7</v>
      </c>
      <c r="G26" s="146"/>
    </row>
    <row r="27" spans="2:9" ht="31.5" customHeight="1">
      <c r="B27" s="335"/>
      <c r="C27" s="73" t="s">
        <v>471</v>
      </c>
      <c r="D27" s="165">
        <v>0</v>
      </c>
      <c r="E27" s="165">
        <v>6</v>
      </c>
      <c r="F27" s="154">
        <v>0</v>
      </c>
      <c r="G27" s="164" t="s">
        <v>236</v>
      </c>
    </row>
    <row r="28" spans="2:9" ht="31.5" customHeight="1">
      <c r="B28" s="335"/>
      <c r="C28" s="73" t="s">
        <v>472</v>
      </c>
      <c r="D28" s="165">
        <v>3386.55</v>
      </c>
      <c r="E28" s="165">
        <v>10</v>
      </c>
      <c r="F28" s="154">
        <v>13</v>
      </c>
      <c r="G28" s="146"/>
    </row>
    <row r="29" spans="2:9" ht="31.5" customHeight="1">
      <c r="B29" s="335"/>
      <c r="C29" s="73" t="s">
        <v>473</v>
      </c>
      <c r="D29" s="106">
        <v>5307.98</v>
      </c>
      <c r="E29" s="165">
        <v>6</v>
      </c>
      <c r="F29" s="154">
        <v>10</v>
      </c>
      <c r="G29" s="92"/>
      <c r="I29" s="235"/>
    </row>
    <row r="30" spans="2:9" ht="31.5" customHeight="1">
      <c r="B30" s="335"/>
      <c r="C30" s="73" t="s">
        <v>474</v>
      </c>
      <c r="D30" s="106">
        <v>131.94</v>
      </c>
      <c r="E30" s="165">
        <v>10</v>
      </c>
      <c r="F30" s="154">
        <v>5</v>
      </c>
      <c r="G30" s="92"/>
      <c r="I30" s="235"/>
    </row>
    <row r="31" spans="2:9" ht="31.5" customHeight="1">
      <c r="B31" s="335"/>
      <c r="C31" s="73" t="s">
        <v>475</v>
      </c>
      <c r="D31" s="106">
        <v>145.51</v>
      </c>
      <c r="E31" s="165">
        <v>6</v>
      </c>
      <c r="F31" s="154">
        <v>10</v>
      </c>
      <c r="G31" s="92"/>
      <c r="I31" s="235"/>
    </row>
    <row r="32" spans="2:9" ht="31.5" customHeight="1">
      <c r="B32" s="335"/>
      <c r="C32" s="73" t="s">
        <v>476</v>
      </c>
      <c r="D32" s="165">
        <v>1284.5999999999999</v>
      </c>
      <c r="E32" s="165">
        <v>10</v>
      </c>
      <c r="F32" s="154">
        <v>8</v>
      </c>
      <c r="G32" s="146"/>
    </row>
    <row r="33" spans="2:16" ht="31.5" customHeight="1">
      <c r="B33" s="335"/>
      <c r="C33" s="73" t="s">
        <v>477</v>
      </c>
      <c r="D33" s="165">
        <v>14.04</v>
      </c>
      <c r="E33" s="165">
        <v>6</v>
      </c>
      <c r="F33" s="154">
        <v>1</v>
      </c>
      <c r="G33" s="146"/>
    </row>
    <row r="34" spans="2:16" ht="31.5" customHeight="1">
      <c r="B34" s="335"/>
      <c r="C34" s="73" t="s">
        <v>478</v>
      </c>
      <c r="D34" s="106">
        <v>357.06</v>
      </c>
      <c r="E34" s="165">
        <v>10</v>
      </c>
      <c r="F34" s="154">
        <v>11</v>
      </c>
      <c r="G34" s="237"/>
    </row>
    <row r="35" spans="2:16" ht="31.5" customHeight="1">
      <c r="B35" s="335"/>
      <c r="C35" s="73" t="s">
        <v>479</v>
      </c>
      <c r="D35" s="106">
        <v>1143.82</v>
      </c>
      <c r="E35" s="165">
        <v>6</v>
      </c>
      <c r="F35" s="154">
        <v>13</v>
      </c>
      <c r="G35" s="146"/>
    </row>
    <row r="36" spans="2:16" ht="31.5" customHeight="1">
      <c r="B36" s="335"/>
      <c r="C36" s="73" t="s">
        <v>480</v>
      </c>
      <c r="D36" s="106">
        <v>1305.1199999999999</v>
      </c>
      <c r="E36" s="165">
        <v>10</v>
      </c>
      <c r="F36" s="154">
        <v>16</v>
      </c>
      <c r="G36" s="238"/>
      <c r="I36" s="235"/>
    </row>
    <row r="37" spans="2:16" ht="31.5" customHeight="1">
      <c r="B37" s="335"/>
      <c r="C37" s="73" t="s">
        <v>481</v>
      </c>
      <c r="D37" s="106">
        <v>595.80999999999995</v>
      </c>
      <c r="E37" s="165">
        <v>6</v>
      </c>
      <c r="F37" s="154">
        <v>10</v>
      </c>
      <c r="G37" s="234"/>
    </row>
    <row r="38" spans="2:16" ht="31.5" customHeight="1">
      <c r="B38" s="335"/>
      <c r="C38" s="73" t="s">
        <v>482</v>
      </c>
      <c r="D38" s="106">
        <v>108</v>
      </c>
      <c r="E38" s="165">
        <v>15</v>
      </c>
      <c r="F38" s="154">
        <v>1</v>
      </c>
      <c r="G38" s="234"/>
    </row>
    <row r="39" spans="2:16" ht="31.5" customHeight="1">
      <c r="B39" s="335"/>
      <c r="C39" s="73" t="s">
        <v>483</v>
      </c>
      <c r="D39" s="106">
        <v>2192.91</v>
      </c>
      <c r="E39" s="165">
        <v>10</v>
      </c>
      <c r="F39" s="154">
        <v>17</v>
      </c>
      <c r="G39" s="234"/>
      <c r="H39" s="239"/>
      <c r="I39" s="236"/>
    </row>
    <row r="40" spans="2:16" ht="31.5" customHeight="1">
      <c r="B40" s="335"/>
      <c r="C40" s="73" t="s">
        <v>484</v>
      </c>
      <c r="D40" s="165">
        <v>0</v>
      </c>
      <c r="E40" s="165">
        <v>6</v>
      </c>
      <c r="F40" s="154">
        <v>0</v>
      </c>
      <c r="G40" s="164" t="s">
        <v>236</v>
      </c>
    </row>
    <row r="41" spans="2:16" ht="42" customHeight="1">
      <c r="B41" s="335"/>
      <c r="C41" s="73" t="s">
        <v>485</v>
      </c>
      <c r="D41" s="165">
        <v>1316.43</v>
      </c>
      <c r="E41" s="165">
        <v>10</v>
      </c>
      <c r="F41" s="154">
        <v>19</v>
      </c>
      <c r="G41" s="237"/>
    </row>
    <row r="42" spans="2:16" ht="31.5" customHeight="1">
      <c r="B42" s="335"/>
      <c r="C42" s="73" t="s">
        <v>486</v>
      </c>
      <c r="D42" s="165">
        <v>0</v>
      </c>
      <c r="E42" s="165">
        <v>6</v>
      </c>
      <c r="F42" s="154">
        <v>0</v>
      </c>
      <c r="G42" s="164" t="s">
        <v>236</v>
      </c>
    </row>
    <row r="43" spans="2:16" ht="31.5" customHeight="1">
      <c r="B43" s="335"/>
      <c r="C43" s="73" t="s">
        <v>487</v>
      </c>
      <c r="D43" s="165">
        <v>2168.73</v>
      </c>
      <c r="E43" s="165">
        <v>10</v>
      </c>
      <c r="F43" s="154">
        <v>8</v>
      </c>
      <c r="G43" s="146"/>
      <c r="I43" s="235"/>
    </row>
    <row r="44" spans="2:16" ht="31.5" customHeight="1">
      <c r="B44" s="335"/>
      <c r="C44" s="73" t="s">
        <v>488</v>
      </c>
      <c r="D44" s="165">
        <v>0</v>
      </c>
      <c r="E44" s="165">
        <v>6</v>
      </c>
      <c r="F44" s="154">
        <v>0</v>
      </c>
      <c r="G44" s="164" t="s">
        <v>236</v>
      </c>
    </row>
    <row r="45" spans="2:16" ht="31.5" customHeight="1">
      <c r="B45" s="335"/>
      <c r="C45" s="73" t="s">
        <v>489</v>
      </c>
      <c r="D45" s="165">
        <v>2696.1</v>
      </c>
      <c r="E45" s="165">
        <v>10</v>
      </c>
      <c r="F45" s="154">
        <v>8</v>
      </c>
      <c r="G45" s="212"/>
    </row>
    <row r="46" spans="2:16" ht="31.5" customHeight="1">
      <c r="B46" s="335"/>
      <c r="C46" s="73" t="s">
        <v>490</v>
      </c>
      <c r="D46" s="165">
        <v>0</v>
      </c>
      <c r="E46" s="165">
        <v>6</v>
      </c>
      <c r="F46" s="154">
        <v>0</v>
      </c>
      <c r="G46" s="164" t="s">
        <v>236</v>
      </c>
    </row>
    <row r="47" spans="2:16" ht="31.5" customHeight="1">
      <c r="B47" s="335"/>
      <c r="C47" s="73" t="s">
        <v>491</v>
      </c>
      <c r="D47" s="165">
        <v>144.12</v>
      </c>
      <c r="E47" s="165">
        <v>10</v>
      </c>
      <c r="F47" s="154">
        <v>6</v>
      </c>
      <c r="G47" s="92"/>
      <c r="I47" s="235"/>
      <c r="P47" s="240"/>
    </row>
    <row r="48" spans="2:16" ht="31.5" customHeight="1">
      <c r="B48" s="335"/>
      <c r="C48" s="73" t="s">
        <v>492</v>
      </c>
      <c r="D48" s="165">
        <v>0</v>
      </c>
      <c r="E48" s="165">
        <v>6</v>
      </c>
      <c r="F48" s="154">
        <v>0</v>
      </c>
      <c r="G48" s="164" t="s">
        <v>236</v>
      </c>
      <c r="P48" s="240"/>
    </row>
    <row r="49" spans="2:16" ht="31.5" customHeight="1">
      <c r="B49" s="335"/>
      <c r="C49" s="73" t="s">
        <v>493</v>
      </c>
      <c r="D49" s="106">
        <v>129.56</v>
      </c>
      <c r="E49" s="165">
        <v>10</v>
      </c>
      <c r="F49" s="154">
        <v>3</v>
      </c>
      <c r="G49" s="237"/>
      <c r="P49" s="240"/>
    </row>
    <row r="50" spans="2:16" ht="31.5" customHeight="1">
      <c r="B50" s="335"/>
      <c r="C50" s="73" t="s">
        <v>494</v>
      </c>
      <c r="D50" s="165">
        <v>256.08</v>
      </c>
      <c r="E50" s="165">
        <v>6</v>
      </c>
      <c r="F50" s="248">
        <v>2</v>
      </c>
      <c r="G50" s="241"/>
    </row>
    <row r="51" spans="2:16" ht="31.5" customHeight="1">
      <c r="B51" s="335"/>
      <c r="C51" s="73" t="s">
        <v>495</v>
      </c>
      <c r="D51" s="165">
        <v>516.9</v>
      </c>
      <c r="E51" s="165">
        <v>10</v>
      </c>
      <c r="F51" s="248">
        <v>13</v>
      </c>
      <c r="G51" s="241"/>
    </row>
    <row r="52" spans="2:16" ht="31.5" customHeight="1">
      <c r="B52" s="335"/>
      <c r="C52" s="73" t="s">
        <v>496</v>
      </c>
      <c r="D52" s="106">
        <v>679.22</v>
      </c>
      <c r="E52" s="165">
        <v>6</v>
      </c>
      <c r="F52" s="248">
        <v>9</v>
      </c>
      <c r="G52" s="241"/>
    </row>
    <row r="53" spans="2:16" ht="31.5" customHeight="1">
      <c r="B53" s="335"/>
      <c r="C53" s="73" t="s">
        <v>497</v>
      </c>
      <c r="D53" s="106">
        <v>79.56</v>
      </c>
      <c r="E53" s="165">
        <v>10</v>
      </c>
      <c r="F53" s="248">
        <v>5</v>
      </c>
      <c r="G53" s="147"/>
    </row>
    <row r="54" spans="2:16" ht="31.5" customHeight="1">
      <c r="B54" s="335"/>
      <c r="C54" s="73" t="s">
        <v>498</v>
      </c>
      <c r="D54" s="106">
        <v>25.2</v>
      </c>
      <c r="E54" s="165">
        <v>6</v>
      </c>
      <c r="F54" s="248">
        <v>3</v>
      </c>
      <c r="G54" s="147"/>
    </row>
    <row r="55" spans="2:16" ht="31.5" customHeight="1">
      <c r="B55" s="335"/>
      <c r="C55" s="73" t="s">
        <v>499</v>
      </c>
      <c r="D55" s="106">
        <v>1843.32</v>
      </c>
      <c r="E55" s="165">
        <v>10</v>
      </c>
      <c r="F55" s="248">
        <v>20</v>
      </c>
      <c r="G55" s="241"/>
    </row>
    <row r="56" spans="2:16" ht="31.5" customHeight="1">
      <c r="B56" s="335"/>
      <c r="C56" s="73" t="s">
        <v>500</v>
      </c>
      <c r="D56" s="106">
        <v>889.5</v>
      </c>
      <c r="E56" s="165">
        <v>6</v>
      </c>
      <c r="F56" s="248">
        <v>10</v>
      </c>
      <c r="G56" s="241"/>
    </row>
    <row r="57" spans="2:16" ht="31.5" customHeight="1">
      <c r="B57" s="335"/>
      <c r="C57" s="73" t="s">
        <v>501</v>
      </c>
      <c r="D57" s="106">
        <v>990</v>
      </c>
      <c r="E57" s="165">
        <v>15</v>
      </c>
      <c r="F57" s="248">
        <v>4</v>
      </c>
      <c r="G57" s="241"/>
    </row>
    <row r="58" spans="2:16" ht="58.8" customHeight="1">
      <c r="B58" s="151" t="s">
        <v>70</v>
      </c>
      <c r="C58" s="151"/>
      <c r="D58" s="247">
        <f>SUM(D8:D57)</f>
        <v>50334.979999999996</v>
      </c>
      <c r="E58" s="247">
        <f>SUM(E8:E57)</f>
        <v>432</v>
      </c>
      <c r="F58" s="250">
        <f>SUM(F8:F57)</f>
        <v>443</v>
      </c>
      <c r="G58" s="242"/>
    </row>
    <row r="59" spans="2:16" ht="37.5" customHeight="1">
      <c r="B59" s="336" t="s">
        <v>71</v>
      </c>
      <c r="C59" s="122" t="s">
        <v>502</v>
      </c>
      <c r="D59" s="165">
        <v>0</v>
      </c>
      <c r="E59" s="165">
        <v>0</v>
      </c>
      <c r="F59" s="58">
        <v>24</v>
      </c>
      <c r="G59" s="225" t="s">
        <v>164</v>
      </c>
    </row>
    <row r="60" spans="2:16" ht="28.8">
      <c r="B60" s="336"/>
      <c r="C60" s="73" t="s">
        <v>503</v>
      </c>
      <c r="D60" s="165">
        <v>0</v>
      </c>
      <c r="E60" s="165">
        <v>1.22</v>
      </c>
      <c r="F60" s="249">
        <v>0</v>
      </c>
      <c r="G60" s="164" t="s">
        <v>236</v>
      </c>
    </row>
    <row r="61" spans="2:16" ht="28.8">
      <c r="B61" s="336"/>
      <c r="C61" s="73" t="s">
        <v>504</v>
      </c>
      <c r="D61" s="103">
        <v>374.34</v>
      </c>
      <c r="E61" s="165">
        <v>4.96</v>
      </c>
      <c r="F61" s="58">
        <v>4</v>
      </c>
      <c r="G61" s="242"/>
    </row>
    <row r="62" spans="2:16" ht="39.75" customHeight="1">
      <c r="B62" s="336"/>
      <c r="C62" s="73" t="s">
        <v>505</v>
      </c>
      <c r="D62" s="165">
        <v>0</v>
      </c>
      <c r="E62" s="165">
        <v>0</v>
      </c>
      <c r="F62" s="249">
        <v>0</v>
      </c>
      <c r="G62" s="164" t="s">
        <v>236</v>
      </c>
    </row>
    <row r="63" spans="2:16" ht="28.8">
      <c r="B63" s="336"/>
      <c r="C63" s="73" t="s">
        <v>506</v>
      </c>
      <c r="D63" s="165">
        <v>0</v>
      </c>
      <c r="E63" s="165">
        <v>1.22</v>
      </c>
      <c r="F63" s="249">
        <v>0</v>
      </c>
      <c r="G63" s="164" t="s">
        <v>236</v>
      </c>
    </row>
    <row r="64" spans="2:16" ht="53.25" customHeight="1">
      <c r="B64" s="336"/>
      <c r="C64" s="73" t="s">
        <v>507</v>
      </c>
      <c r="D64" s="165">
        <v>0</v>
      </c>
      <c r="E64" s="165">
        <v>4.96</v>
      </c>
      <c r="F64" s="249">
        <v>0</v>
      </c>
      <c r="G64" s="164" t="s">
        <v>236</v>
      </c>
    </row>
    <row r="65" spans="2:8" ht="53.25" customHeight="1">
      <c r="B65" s="336"/>
      <c r="C65" s="122" t="s">
        <v>508</v>
      </c>
      <c r="D65" s="165">
        <v>0</v>
      </c>
      <c r="E65" s="165">
        <v>0</v>
      </c>
      <c r="F65" s="243">
        <v>3</v>
      </c>
      <c r="G65" s="225" t="s">
        <v>164</v>
      </c>
    </row>
    <row r="66" spans="2:8" ht="59.4" customHeight="1">
      <c r="B66" s="336"/>
      <c r="C66" s="73" t="s">
        <v>509</v>
      </c>
      <c r="D66" s="165">
        <v>0</v>
      </c>
      <c r="E66" s="165">
        <v>1.22</v>
      </c>
      <c r="F66" s="249">
        <v>0</v>
      </c>
      <c r="G66" s="164" t="s">
        <v>236</v>
      </c>
    </row>
    <row r="67" spans="2:8" ht="28.8">
      <c r="B67" s="336"/>
      <c r="C67" s="73" t="s">
        <v>510</v>
      </c>
      <c r="D67" s="103">
        <v>148.72</v>
      </c>
      <c r="E67" s="165">
        <v>4.96</v>
      </c>
      <c r="F67" s="249">
        <v>2</v>
      </c>
      <c r="G67" s="242"/>
    </row>
    <row r="68" spans="2:8" ht="47.25" customHeight="1">
      <c r="B68" s="336"/>
      <c r="C68" s="173" t="s">
        <v>511</v>
      </c>
      <c r="D68" s="165">
        <v>0</v>
      </c>
      <c r="E68" s="165">
        <v>0</v>
      </c>
      <c r="F68" s="249">
        <v>0</v>
      </c>
      <c r="G68" s="164" t="s">
        <v>236</v>
      </c>
    </row>
    <row r="69" spans="2:8" ht="42.75" customHeight="1">
      <c r="B69" s="336"/>
      <c r="C69" s="173" t="s">
        <v>512</v>
      </c>
      <c r="D69" s="165">
        <v>0</v>
      </c>
      <c r="E69" s="165">
        <v>4.96</v>
      </c>
      <c r="F69" s="249">
        <v>0</v>
      </c>
      <c r="G69" s="164" t="s">
        <v>236</v>
      </c>
    </row>
    <row r="70" spans="2:8" ht="42.75" customHeight="1">
      <c r="B70" s="336"/>
      <c r="C70" s="73" t="s">
        <v>513</v>
      </c>
      <c r="D70" s="165">
        <v>0</v>
      </c>
      <c r="E70" s="165">
        <v>0</v>
      </c>
      <c r="F70" s="248">
        <v>16</v>
      </c>
      <c r="G70" s="225" t="s">
        <v>164</v>
      </c>
    </row>
    <row r="71" spans="2:8" ht="42.75" customHeight="1">
      <c r="B71" s="336"/>
      <c r="C71" s="73" t="s">
        <v>514</v>
      </c>
      <c r="D71" s="165">
        <v>0</v>
      </c>
      <c r="E71" s="165">
        <v>0.99</v>
      </c>
      <c r="F71" s="135">
        <v>0</v>
      </c>
      <c r="G71" s="164" t="s">
        <v>236</v>
      </c>
    </row>
    <row r="72" spans="2:8" ht="42.75" customHeight="1">
      <c r="B72" s="336"/>
      <c r="C72" s="73" t="s">
        <v>515</v>
      </c>
      <c r="D72" s="165">
        <v>74.37</v>
      </c>
      <c r="E72" s="165">
        <v>3.72</v>
      </c>
      <c r="F72" s="248">
        <v>3</v>
      </c>
      <c r="G72" s="242"/>
      <c r="H72" s="244"/>
    </row>
    <row r="73" spans="2:8" ht="42.75" customHeight="1">
      <c r="B73" s="336"/>
      <c r="C73" s="73" t="s">
        <v>516</v>
      </c>
      <c r="D73" s="165">
        <v>0</v>
      </c>
      <c r="E73" s="165">
        <v>11.16</v>
      </c>
      <c r="F73" s="135">
        <v>0</v>
      </c>
      <c r="G73" s="164" t="s">
        <v>236</v>
      </c>
    </row>
    <row r="74" spans="2:8" ht="42.75" customHeight="1">
      <c r="B74" s="336"/>
      <c r="C74" s="122" t="s">
        <v>517</v>
      </c>
      <c r="D74" s="165">
        <v>0</v>
      </c>
      <c r="E74" s="165">
        <v>0</v>
      </c>
      <c r="F74" s="248">
        <v>6</v>
      </c>
      <c r="G74" s="225" t="s">
        <v>164</v>
      </c>
    </row>
    <row r="75" spans="2:8" ht="42.75" customHeight="1">
      <c r="B75" s="336"/>
      <c r="C75" s="73" t="s">
        <v>518</v>
      </c>
      <c r="D75" s="165">
        <v>0</v>
      </c>
      <c r="E75" s="165">
        <v>0.68</v>
      </c>
      <c r="F75" s="135">
        <v>0</v>
      </c>
      <c r="G75" s="164" t="s">
        <v>236</v>
      </c>
    </row>
    <row r="76" spans="2:8" ht="42.75" customHeight="1">
      <c r="B76" s="336"/>
      <c r="C76" s="73" t="s">
        <v>519</v>
      </c>
      <c r="D76" s="165">
        <v>0</v>
      </c>
      <c r="E76" s="165">
        <v>2.48</v>
      </c>
      <c r="F76" s="135">
        <v>0</v>
      </c>
      <c r="G76" s="164" t="s">
        <v>236</v>
      </c>
    </row>
    <row r="77" spans="2:8" ht="42.75" customHeight="1">
      <c r="B77" s="336"/>
      <c r="C77" s="73" t="s">
        <v>520</v>
      </c>
      <c r="D77" s="165">
        <v>0</v>
      </c>
      <c r="E77" s="165">
        <v>7.44</v>
      </c>
      <c r="F77" s="135">
        <v>0</v>
      </c>
      <c r="G77" s="164" t="s">
        <v>236</v>
      </c>
    </row>
    <row r="78" spans="2:8" ht="42.75" customHeight="1">
      <c r="B78" s="336"/>
      <c r="C78" s="122" t="s">
        <v>521</v>
      </c>
      <c r="D78" s="165">
        <v>0</v>
      </c>
      <c r="E78" s="165">
        <v>0</v>
      </c>
      <c r="F78" s="248">
        <v>9</v>
      </c>
      <c r="G78" s="225" t="s">
        <v>164</v>
      </c>
    </row>
    <row r="79" spans="2:8" ht="39.6" customHeight="1">
      <c r="B79" s="336"/>
      <c r="C79" s="73" t="s">
        <v>522</v>
      </c>
      <c r="D79" s="165">
        <v>0</v>
      </c>
      <c r="E79" s="165">
        <v>0.68</v>
      </c>
      <c r="F79" s="135">
        <v>0</v>
      </c>
      <c r="G79" s="164" t="s">
        <v>236</v>
      </c>
    </row>
    <row r="80" spans="2:8" ht="42" customHeight="1">
      <c r="B80" s="336"/>
      <c r="C80" s="73" t="s">
        <v>523</v>
      </c>
      <c r="D80" s="165">
        <v>0</v>
      </c>
      <c r="E80" s="165">
        <v>2.48</v>
      </c>
      <c r="F80" s="135">
        <v>0</v>
      </c>
      <c r="G80" s="164" t="s">
        <v>236</v>
      </c>
    </row>
    <row r="81" spans="2:7" ht="47.25" customHeight="1">
      <c r="B81" s="336"/>
      <c r="C81" s="73" t="s">
        <v>524</v>
      </c>
      <c r="D81" s="165">
        <v>0</v>
      </c>
      <c r="E81" s="165">
        <v>7.44</v>
      </c>
      <c r="F81" s="135">
        <v>0</v>
      </c>
      <c r="G81" s="164" t="s">
        <v>236</v>
      </c>
    </row>
    <row r="82" spans="2:7" ht="33" customHeight="1">
      <c r="B82" s="151" t="s">
        <v>70</v>
      </c>
      <c r="C82" s="151"/>
      <c r="D82" s="247">
        <f>SUM(D59:D81)</f>
        <v>597.42999999999995</v>
      </c>
      <c r="E82" s="247">
        <f>SUM(E59:E81)</f>
        <v>60.569999999999986</v>
      </c>
      <c r="F82" s="250">
        <f>SUM(F59:F81)</f>
        <v>67</v>
      </c>
      <c r="G82" s="148"/>
    </row>
    <row r="83" spans="2:7" ht="24.75" customHeight="1">
      <c r="B83" s="337" t="s">
        <v>77</v>
      </c>
      <c r="C83" s="337"/>
      <c r="D83" s="337"/>
      <c r="E83" s="337"/>
      <c r="F83" s="337"/>
      <c r="G83" s="337"/>
    </row>
    <row r="84" spans="2:7" ht="53.25" customHeight="1">
      <c r="B84" s="145" t="s">
        <v>9</v>
      </c>
      <c r="C84" s="145" t="s">
        <v>78</v>
      </c>
      <c r="D84" s="145" t="s">
        <v>11</v>
      </c>
      <c r="E84" s="145" t="s">
        <v>79</v>
      </c>
      <c r="F84" s="145" t="s">
        <v>2</v>
      </c>
      <c r="G84" s="146" t="s">
        <v>80</v>
      </c>
    </row>
    <row r="85" spans="2:7" ht="28.8">
      <c r="B85" s="100" t="s">
        <v>81</v>
      </c>
      <c r="C85" s="152"/>
      <c r="D85" s="106">
        <v>0</v>
      </c>
      <c r="E85" s="106">
        <v>0</v>
      </c>
      <c r="F85" s="135">
        <v>0</v>
      </c>
      <c r="G85" s="164" t="s">
        <v>236</v>
      </c>
    </row>
    <row r="86" spans="2:7" ht="29.25" customHeight="1">
      <c r="B86" s="155" t="s">
        <v>70</v>
      </c>
      <c r="C86" s="156"/>
      <c r="D86" s="199">
        <f>SUM(D85:D85)</f>
        <v>0</v>
      </c>
      <c r="E86" s="199">
        <f>SUM(E85:E85)</f>
        <v>0</v>
      </c>
      <c r="F86" s="200">
        <f>SUM(F85:F85)</f>
        <v>0</v>
      </c>
      <c r="G86" s="92"/>
    </row>
    <row r="87" spans="2:7" ht="66.75" customHeight="1">
      <c r="B87" s="330" t="s">
        <v>82</v>
      </c>
      <c r="C87" s="73" t="s">
        <v>525</v>
      </c>
      <c r="D87" s="165">
        <v>5564.7</v>
      </c>
      <c r="E87" s="165">
        <v>5540</v>
      </c>
      <c r="F87" s="248">
        <v>101</v>
      </c>
      <c r="G87" s="92"/>
    </row>
    <row r="88" spans="2:7" ht="33" customHeight="1">
      <c r="B88" s="330"/>
      <c r="C88" s="73" t="s">
        <v>526</v>
      </c>
      <c r="D88" s="165">
        <v>3627</v>
      </c>
      <c r="E88" s="165">
        <v>3600</v>
      </c>
      <c r="F88" s="248">
        <v>63</v>
      </c>
      <c r="G88" s="92"/>
    </row>
    <row r="89" spans="2:7" ht="32.4" customHeight="1">
      <c r="B89" s="155" t="s">
        <v>70</v>
      </c>
      <c r="C89" s="156"/>
      <c r="D89" s="247">
        <f>SUM(D87:D88)</f>
        <v>9191.7000000000007</v>
      </c>
      <c r="E89" s="247">
        <f>SUM(E87:E88)</f>
        <v>9140</v>
      </c>
      <c r="F89" s="170">
        <f>SUM(F87:F88)</f>
        <v>164</v>
      </c>
      <c r="G89" s="92"/>
    </row>
    <row r="90" spans="2:7" ht="90" customHeight="1">
      <c r="B90" s="331" t="s">
        <v>89</v>
      </c>
      <c r="C90" s="229" t="s">
        <v>527</v>
      </c>
      <c r="D90" s="106">
        <v>315.14</v>
      </c>
      <c r="E90" s="106">
        <v>315.14</v>
      </c>
      <c r="F90" s="135">
        <v>1</v>
      </c>
      <c r="G90" s="73"/>
    </row>
    <row r="91" spans="2:7">
      <c r="B91" s="331"/>
      <c r="C91" s="229" t="s">
        <v>528</v>
      </c>
      <c r="D91" s="106">
        <v>367.58</v>
      </c>
      <c r="E91" s="106">
        <v>367.58</v>
      </c>
      <c r="F91" s="135">
        <v>1</v>
      </c>
      <c r="G91" s="73"/>
    </row>
    <row r="92" spans="2:7" ht="26.4" customHeight="1">
      <c r="B92" s="331"/>
      <c r="C92" s="229" t="s">
        <v>529</v>
      </c>
      <c r="D92" s="106">
        <v>0</v>
      </c>
      <c r="E92" s="106">
        <v>18679.41</v>
      </c>
      <c r="F92" s="135">
        <v>0</v>
      </c>
      <c r="G92" s="164" t="s">
        <v>236</v>
      </c>
    </row>
    <row r="93" spans="2:7" ht="31.8" customHeight="1">
      <c r="B93" s="155" t="s">
        <v>70</v>
      </c>
      <c r="C93" s="156"/>
      <c r="D93" s="247">
        <f>SUM(D90:D92)</f>
        <v>682.72</v>
      </c>
      <c r="E93" s="247">
        <f>SUM(E90:E92)</f>
        <v>19362.13</v>
      </c>
      <c r="F93" s="250">
        <f>SUM(F90:F92)</f>
        <v>2</v>
      </c>
      <c r="G93" s="92"/>
    </row>
    <row r="94" spans="2:7" ht="60" customHeight="1">
      <c r="B94" s="331" t="s">
        <v>93</v>
      </c>
      <c r="C94" s="173" t="s">
        <v>530</v>
      </c>
      <c r="D94" s="106">
        <v>0</v>
      </c>
      <c r="E94" s="106">
        <v>798.75</v>
      </c>
      <c r="F94" s="108">
        <v>0</v>
      </c>
      <c r="G94" s="164" t="s">
        <v>236</v>
      </c>
    </row>
    <row r="95" spans="2:7" ht="45" customHeight="1">
      <c r="B95" s="331"/>
      <c r="C95" s="73" t="s">
        <v>531</v>
      </c>
      <c r="D95" s="106">
        <v>0</v>
      </c>
      <c r="E95" s="106">
        <v>6800</v>
      </c>
      <c r="F95" s="108">
        <v>0</v>
      </c>
      <c r="G95" s="164" t="s">
        <v>236</v>
      </c>
    </row>
    <row r="96" spans="2:7" ht="45" customHeight="1">
      <c r="B96" s="331"/>
      <c r="C96" s="73" t="s">
        <v>532</v>
      </c>
      <c r="D96" s="106">
        <v>4792.66</v>
      </c>
      <c r="E96" s="106">
        <v>7910</v>
      </c>
      <c r="F96" s="108">
        <v>2</v>
      </c>
      <c r="G96" s="73" t="s">
        <v>533</v>
      </c>
    </row>
    <row r="97" spans="2:7" ht="45" customHeight="1">
      <c r="B97" s="331"/>
      <c r="C97" s="73" t="s">
        <v>534</v>
      </c>
      <c r="D97" s="106">
        <v>0</v>
      </c>
      <c r="E97" s="106">
        <v>3450</v>
      </c>
      <c r="F97" s="108">
        <v>0</v>
      </c>
      <c r="G97" s="164" t="s">
        <v>236</v>
      </c>
    </row>
    <row r="98" spans="2:7" ht="45" customHeight="1">
      <c r="B98" s="331"/>
      <c r="C98" s="173" t="s">
        <v>535</v>
      </c>
      <c r="D98" s="106">
        <v>0</v>
      </c>
      <c r="E98" s="106">
        <v>0</v>
      </c>
      <c r="F98" s="108">
        <v>0</v>
      </c>
      <c r="G98" s="164" t="s">
        <v>236</v>
      </c>
    </row>
    <row r="99" spans="2:7" ht="54" customHeight="1">
      <c r="B99" s="331"/>
      <c r="C99" s="73" t="s">
        <v>536</v>
      </c>
      <c r="D99" s="106">
        <v>0</v>
      </c>
      <c r="E99" s="106">
        <v>0</v>
      </c>
      <c r="F99" s="108">
        <v>0</v>
      </c>
      <c r="G99" s="73" t="s">
        <v>164</v>
      </c>
    </row>
    <row r="100" spans="2:7" ht="45" customHeight="1">
      <c r="B100" s="331"/>
      <c r="C100" s="73" t="s">
        <v>537</v>
      </c>
      <c r="D100" s="106">
        <v>0</v>
      </c>
      <c r="E100" s="106" t="s">
        <v>538</v>
      </c>
      <c r="F100" s="108">
        <v>0</v>
      </c>
      <c r="G100" s="164" t="s">
        <v>236</v>
      </c>
    </row>
    <row r="101" spans="2:7" ht="45" customHeight="1">
      <c r="B101" s="331"/>
      <c r="C101" s="73" t="s">
        <v>539</v>
      </c>
      <c r="D101" s="106">
        <v>0</v>
      </c>
      <c r="E101" s="106">
        <v>0</v>
      </c>
      <c r="F101" s="108">
        <v>0</v>
      </c>
      <c r="G101" s="73" t="s">
        <v>164</v>
      </c>
    </row>
    <row r="102" spans="2:7" ht="45" customHeight="1">
      <c r="B102" s="331"/>
      <c r="C102" s="73" t="s">
        <v>540</v>
      </c>
      <c r="D102" s="106">
        <v>0</v>
      </c>
      <c r="E102" s="106">
        <v>1207</v>
      </c>
      <c r="F102" s="108">
        <v>0</v>
      </c>
      <c r="G102" s="164" t="s">
        <v>236</v>
      </c>
    </row>
    <row r="103" spans="2:7" ht="16.5" customHeight="1">
      <c r="B103" s="331"/>
      <c r="C103" s="73" t="s">
        <v>541</v>
      </c>
      <c r="D103" s="106">
        <v>0</v>
      </c>
      <c r="E103" s="106">
        <v>0</v>
      </c>
      <c r="F103" s="108">
        <v>0</v>
      </c>
      <c r="G103" s="73" t="s">
        <v>164</v>
      </c>
    </row>
    <row r="104" spans="2:7" ht="30.75" customHeight="1">
      <c r="B104" s="331"/>
      <c r="C104" s="73" t="s">
        <v>542</v>
      </c>
      <c r="D104" s="106">
        <v>3637.5</v>
      </c>
      <c r="E104" s="106">
        <v>1818.75</v>
      </c>
      <c r="F104" s="108">
        <v>2</v>
      </c>
      <c r="G104" s="73" t="s">
        <v>543</v>
      </c>
    </row>
    <row r="105" spans="2:7" ht="27.6" customHeight="1">
      <c r="B105" s="155" t="s">
        <v>70</v>
      </c>
      <c r="C105" s="246"/>
      <c r="D105" s="247">
        <f>SUM(D94:D104)</f>
        <v>8430.16</v>
      </c>
      <c r="E105" s="247">
        <f>SUM(E94:E104)</f>
        <v>21984.5</v>
      </c>
      <c r="F105" s="250">
        <f>SUM(F94:F104)</f>
        <v>4</v>
      </c>
      <c r="G105" s="92"/>
    </row>
    <row r="106" spans="2:7" ht="35.25" customHeight="1">
      <c r="B106" s="100" t="s">
        <v>96</v>
      </c>
      <c r="C106" s="162"/>
      <c r="D106" s="203">
        <v>0</v>
      </c>
      <c r="E106" s="203">
        <v>0</v>
      </c>
      <c r="F106" s="108">
        <v>0</v>
      </c>
      <c r="G106" s="164" t="s">
        <v>236</v>
      </c>
    </row>
    <row r="107" spans="2:7" ht="20.399999999999999" customHeight="1">
      <c r="B107" s="155" t="s">
        <v>70</v>
      </c>
      <c r="C107" s="162"/>
      <c r="D107" s="199">
        <f>SUM(D106:D106)</f>
        <v>0</v>
      </c>
      <c r="E107" s="199">
        <f>SUM(E106:E106)</f>
        <v>0</v>
      </c>
      <c r="F107" s="200">
        <f>SUM(F106:F106)</f>
        <v>0</v>
      </c>
      <c r="G107" s="92"/>
    </row>
    <row r="108" spans="2:7" ht="18" customHeight="1">
      <c r="B108" s="324"/>
      <c r="C108" s="324"/>
      <c r="D108" s="324"/>
      <c r="E108" s="324"/>
      <c r="F108" s="324"/>
      <c r="G108" s="324"/>
    </row>
    <row r="109" spans="2:7" ht="52.2" customHeight="1">
      <c r="B109" s="155" t="s">
        <v>293</v>
      </c>
      <c r="C109" s="246"/>
      <c r="D109" s="247">
        <f>D107+D105+D93+D89+D86+D82+D58</f>
        <v>69236.989999999991</v>
      </c>
      <c r="E109" s="247">
        <f>E107+E105+E93+E89+E86+E82+E58</f>
        <v>50979.200000000004</v>
      </c>
      <c r="F109" s="250">
        <f>F107+F105+F93+F89+F86+F82+F58</f>
        <v>680</v>
      </c>
      <c r="G109" s="92"/>
    </row>
    <row r="110" spans="2:7" ht="18" customHeight="1">
      <c r="B110" s="178"/>
      <c r="C110" s="251"/>
      <c r="D110" s="252"/>
      <c r="E110" s="252"/>
      <c r="F110" s="253"/>
    </row>
    <row r="111" spans="2:7">
      <c r="B111" s="79" t="s">
        <v>545</v>
      </c>
    </row>
    <row r="112" spans="2:7" ht="22.2" customHeight="1">
      <c r="B112" s="245" t="s">
        <v>546</v>
      </c>
      <c r="C112" s="245"/>
      <c r="D112" s="245"/>
      <c r="E112" s="245"/>
    </row>
    <row r="113" spans="2:7" ht="15" customHeight="1">
      <c r="B113" s="245" t="s">
        <v>544</v>
      </c>
      <c r="C113" s="245"/>
      <c r="D113" s="245"/>
      <c r="E113" s="245"/>
    </row>
    <row r="114" spans="2:7">
      <c r="B114" s="245" t="s">
        <v>547</v>
      </c>
      <c r="C114" s="245"/>
      <c r="D114" s="245"/>
      <c r="E114" s="245"/>
      <c r="F114" s="332"/>
      <c r="G114" s="332"/>
    </row>
    <row r="116" spans="2:7">
      <c r="B116" t="s">
        <v>99</v>
      </c>
    </row>
    <row r="117" spans="2:7">
      <c r="B117" s="311"/>
      <c r="C117" s="311"/>
      <c r="D117" s="311"/>
    </row>
    <row r="118" spans="2:7" ht="15.75" customHeight="1">
      <c r="B118" s="224" t="s">
        <v>163</v>
      </c>
      <c r="C118" s="224"/>
    </row>
  </sheetData>
  <mergeCells count="12">
    <mergeCell ref="B83:G83"/>
    <mergeCell ref="B4:G4"/>
    <mergeCell ref="B5:G5"/>
    <mergeCell ref="B6:G6"/>
    <mergeCell ref="B8:B57"/>
    <mergeCell ref="B59:B81"/>
    <mergeCell ref="B117:D117"/>
    <mergeCell ref="B87:B88"/>
    <mergeCell ref="B90:B92"/>
    <mergeCell ref="B94:B104"/>
    <mergeCell ref="F114:G114"/>
    <mergeCell ref="B108:G10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ED29-1B7D-483F-AED5-CD3797D7D077}">
  <dimension ref="B1:I148"/>
  <sheetViews>
    <sheetView topLeftCell="A129" workbookViewId="0">
      <selection activeCell="B139" sqref="B139"/>
    </sheetView>
  </sheetViews>
  <sheetFormatPr defaultColWidth="9.109375" defaultRowHeight="14.4"/>
  <cols>
    <col min="1" max="1" width="3.33203125" style="13" customWidth="1"/>
    <col min="2" max="2" width="41.109375" style="36" customWidth="1"/>
    <col min="3" max="3" width="34.6640625" style="36" customWidth="1"/>
    <col min="4" max="4" width="17" style="10" bestFit="1" customWidth="1"/>
    <col min="5" max="5" width="13.33203125" style="10" bestFit="1" customWidth="1"/>
    <col min="6" max="6" width="13.88671875" style="11" bestFit="1" customWidth="1"/>
    <col min="7" max="7" width="31.33203125" style="12" bestFit="1" customWidth="1"/>
    <col min="8" max="16384" width="9.109375" style="13"/>
  </cols>
  <sheetData>
    <row r="1" spans="2:7" ht="30" customHeight="1">
      <c r="B1" s="9" t="s">
        <v>4</v>
      </c>
    </row>
    <row r="2" spans="2:7" ht="18">
      <c r="B2" s="9" t="s">
        <v>5</v>
      </c>
      <c r="D2" s="14"/>
      <c r="E2" s="14"/>
    </row>
    <row r="3" spans="2:7" ht="12.75" customHeight="1">
      <c r="B3" s="15"/>
      <c r="D3" s="14"/>
      <c r="E3" s="14"/>
    </row>
    <row r="4" spans="2:7" ht="32.25" customHeight="1">
      <c r="B4" s="340" t="s">
        <v>6</v>
      </c>
      <c r="C4" s="340"/>
      <c r="D4" s="340"/>
      <c r="E4" s="340"/>
      <c r="F4" s="340"/>
      <c r="G4" s="340"/>
    </row>
    <row r="5" spans="2:7" ht="31.5" customHeight="1">
      <c r="B5" s="340" t="s">
        <v>7</v>
      </c>
      <c r="C5" s="340"/>
      <c r="D5" s="340"/>
      <c r="E5" s="340"/>
      <c r="F5" s="340"/>
      <c r="G5" s="340"/>
    </row>
    <row r="6" spans="2:7" ht="26.25" customHeight="1">
      <c r="B6" s="341" t="s">
        <v>8</v>
      </c>
      <c r="C6" s="341"/>
      <c r="D6" s="341"/>
      <c r="E6" s="341"/>
      <c r="F6" s="341"/>
      <c r="G6" s="341"/>
    </row>
    <row r="7" spans="2:7" ht="55.5" customHeight="1">
      <c r="B7" s="16" t="s">
        <v>9</v>
      </c>
      <c r="C7" s="17" t="s">
        <v>10</v>
      </c>
      <c r="D7" s="18" t="s">
        <v>11</v>
      </c>
      <c r="E7" s="18" t="s">
        <v>12</v>
      </c>
      <c r="F7" s="17" t="s">
        <v>2</v>
      </c>
      <c r="G7" s="19" t="s">
        <v>13</v>
      </c>
    </row>
    <row r="8" spans="2:7" ht="33.75" customHeight="1">
      <c r="B8" s="342" t="s">
        <v>14</v>
      </c>
      <c r="C8" s="45" t="s">
        <v>15</v>
      </c>
      <c r="D8" s="20">
        <f>198.45+1271.03+674.1</f>
        <v>2143.58</v>
      </c>
      <c r="E8" s="20">
        <v>4.5</v>
      </c>
      <c r="F8" s="54">
        <v>5</v>
      </c>
      <c r="G8" s="22"/>
    </row>
    <row r="9" spans="2:7" ht="36.75" customHeight="1">
      <c r="B9" s="343"/>
      <c r="C9" s="45" t="s">
        <v>16</v>
      </c>
      <c r="D9" s="20">
        <v>0</v>
      </c>
      <c r="E9" s="20">
        <v>3.5</v>
      </c>
      <c r="F9" s="54">
        <v>0</v>
      </c>
      <c r="G9" s="23" t="s">
        <v>17</v>
      </c>
    </row>
    <row r="10" spans="2:7" ht="36.75" customHeight="1">
      <c r="B10" s="343"/>
      <c r="C10" s="45" t="s">
        <v>15</v>
      </c>
      <c r="D10" s="20">
        <f>1265.04+891.85+246.68+326.8+75.9+335.24</f>
        <v>3141.51</v>
      </c>
      <c r="E10" s="20">
        <v>5.27</v>
      </c>
      <c r="F10" s="54">
        <v>5</v>
      </c>
      <c r="G10" s="22"/>
    </row>
    <row r="11" spans="2:7" ht="36.75" customHeight="1">
      <c r="B11" s="343"/>
      <c r="C11" s="45" t="s">
        <v>16</v>
      </c>
      <c r="D11" s="24">
        <v>216.48</v>
      </c>
      <c r="E11" s="24">
        <v>1.23</v>
      </c>
      <c r="F11" s="55">
        <v>1</v>
      </c>
      <c r="G11" s="22"/>
    </row>
    <row r="12" spans="2:7" ht="36.75" customHeight="1">
      <c r="B12" s="343"/>
      <c r="C12" s="45" t="s">
        <v>18</v>
      </c>
      <c r="D12" s="24">
        <v>632.52</v>
      </c>
      <c r="E12" s="24">
        <v>5.27</v>
      </c>
      <c r="F12" s="55">
        <v>1</v>
      </c>
      <c r="G12" s="22"/>
    </row>
    <row r="13" spans="2:7" ht="36.75" customHeight="1">
      <c r="B13" s="343"/>
      <c r="C13" s="45" t="s">
        <v>19</v>
      </c>
      <c r="D13" s="20">
        <f>252</f>
        <v>252</v>
      </c>
      <c r="E13" s="20">
        <v>6</v>
      </c>
      <c r="F13" s="54">
        <v>1</v>
      </c>
      <c r="G13" s="22"/>
    </row>
    <row r="14" spans="2:7" ht="36.75" customHeight="1">
      <c r="B14" s="343"/>
      <c r="C14" s="45" t="s">
        <v>19</v>
      </c>
      <c r="D14" s="20">
        <v>21.1</v>
      </c>
      <c r="E14" s="20">
        <v>2.11</v>
      </c>
      <c r="F14" s="54">
        <v>1</v>
      </c>
      <c r="G14" s="22"/>
    </row>
    <row r="15" spans="2:7" ht="36.75" customHeight="1">
      <c r="B15" s="343"/>
      <c r="C15" s="338" t="s">
        <v>20</v>
      </c>
      <c r="D15" s="20">
        <v>345.6</v>
      </c>
      <c r="E15" s="20">
        <v>4.5</v>
      </c>
      <c r="F15" s="54">
        <v>3</v>
      </c>
      <c r="G15" s="22"/>
    </row>
    <row r="16" spans="2:7" ht="36.75" customHeight="1">
      <c r="B16" s="343"/>
      <c r="C16" s="339"/>
      <c r="D16" s="20">
        <f>571.64+529.74</f>
        <v>1101.3800000000001</v>
      </c>
      <c r="E16" s="20">
        <v>5.27</v>
      </c>
      <c r="F16" s="54">
        <v>2</v>
      </c>
      <c r="G16" s="22"/>
    </row>
    <row r="17" spans="2:7" ht="36.75" customHeight="1">
      <c r="B17" s="343"/>
      <c r="C17" s="338" t="s">
        <v>21</v>
      </c>
      <c r="D17" s="20">
        <v>67</v>
      </c>
      <c r="E17" s="20">
        <v>3</v>
      </c>
      <c r="F17" s="54">
        <v>1</v>
      </c>
      <c r="G17" s="22"/>
    </row>
    <row r="18" spans="2:7" ht="36.75" customHeight="1">
      <c r="B18" s="343"/>
      <c r="C18" s="339"/>
      <c r="D18" s="20">
        <v>34.78</v>
      </c>
      <c r="E18" s="20">
        <v>3.51</v>
      </c>
      <c r="F18" s="54">
        <v>1</v>
      </c>
      <c r="G18" s="22"/>
    </row>
    <row r="19" spans="2:7" ht="36.75" customHeight="1">
      <c r="B19" s="343"/>
      <c r="C19" s="338" t="s">
        <v>22</v>
      </c>
      <c r="D19" s="20">
        <f>382.73+46.3+88.8</f>
        <v>517.83000000000004</v>
      </c>
      <c r="E19" s="20">
        <v>3</v>
      </c>
      <c r="F19" s="54">
        <v>6</v>
      </c>
      <c r="G19" s="22"/>
    </row>
    <row r="20" spans="2:7" ht="36.75" customHeight="1">
      <c r="B20" s="343"/>
      <c r="C20" s="339"/>
      <c r="D20" s="20">
        <v>67.45</v>
      </c>
      <c r="E20" s="20">
        <v>3.51</v>
      </c>
      <c r="F20" s="54">
        <v>1</v>
      </c>
      <c r="G20" s="22"/>
    </row>
    <row r="21" spans="2:7" ht="36.75" customHeight="1">
      <c r="B21" s="343"/>
      <c r="C21" s="338" t="s">
        <v>23</v>
      </c>
      <c r="D21" s="20">
        <v>43.08</v>
      </c>
      <c r="E21" s="20">
        <v>1.05</v>
      </c>
      <c r="F21" s="54">
        <v>1</v>
      </c>
      <c r="G21" s="22"/>
    </row>
    <row r="22" spans="2:7" ht="36.75" customHeight="1">
      <c r="B22" s="343"/>
      <c r="C22" s="339"/>
      <c r="D22" s="20">
        <f>36.16+10.33</f>
        <v>46.489999999999995</v>
      </c>
      <c r="E22" s="20">
        <v>1.23</v>
      </c>
      <c r="F22" s="54">
        <v>2</v>
      </c>
      <c r="G22" s="22"/>
    </row>
    <row r="23" spans="2:7" ht="36.75" customHeight="1">
      <c r="B23" s="343"/>
      <c r="C23" s="45" t="s">
        <v>24</v>
      </c>
      <c r="D23" s="20">
        <v>0</v>
      </c>
      <c r="E23" s="20">
        <v>3.5</v>
      </c>
      <c r="F23" s="54">
        <v>0</v>
      </c>
      <c r="G23" s="23" t="s">
        <v>17</v>
      </c>
    </row>
    <row r="24" spans="2:7" ht="36.75" customHeight="1">
      <c r="B24" s="343"/>
      <c r="C24" s="45" t="s">
        <v>25</v>
      </c>
      <c r="D24" s="20">
        <f>140.52+1274.05+67.47+71.67</f>
        <v>1553.71</v>
      </c>
      <c r="E24" s="20">
        <v>4.68</v>
      </c>
      <c r="F24" s="54">
        <v>4</v>
      </c>
      <c r="G24" s="22"/>
    </row>
    <row r="25" spans="2:7" ht="36.75" customHeight="1">
      <c r="B25" s="343"/>
      <c r="C25" s="338" t="s">
        <v>26</v>
      </c>
      <c r="D25" s="24">
        <f>147.6+892.16+61.4+118.97+32.47</f>
        <v>1252.6000000000001</v>
      </c>
      <c r="E25" s="24">
        <v>1.64</v>
      </c>
      <c r="F25" s="55">
        <v>4</v>
      </c>
      <c r="G25" s="22"/>
    </row>
    <row r="26" spans="2:7" ht="36.75" customHeight="1">
      <c r="B26" s="343"/>
      <c r="C26" s="345"/>
      <c r="D26" s="24">
        <f>14.27+226.32+150.88+21.4</f>
        <v>412.87</v>
      </c>
      <c r="E26" s="24">
        <v>4.0999999999999996</v>
      </c>
      <c r="F26" s="55">
        <v>2</v>
      </c>
      <c r="G26" s="22"/>
    </row>
    <row r="27" spans="2:7" ht="36.75" customHeight="1">
      <c r="B27" s="343"/>
      <c r="C27" s="345"/>
      <c r="D27" s="20">
        <f>17.27+47.19+24.26</f>
        <v>88.72</v>
      </c>
      <c r="E27" s="20">
        <v>1.05</v>
      </c>
      <c r="F27" s="54">
        <v>5</v>
      </c>
      <c r="G27" s="22"/>
    </row>
    <row r="28" spans="2:7" ht="36.75" customHeight="1">
      <c r="B28" s="343"/>
      <c r="C28" s="339"/>
      <c r="D28" s="20">
        <f>25.5+76.5</f>
        <v>102</v>
      </c>
      <c r="E28" s="20">
        <v>3.5</v>
      </c>
      <c r="F28" s="54">
        <v>3</v>
      </c>
      <c r="G28" s="22"/>
    </row>
    <row r="29" spans="2:7" ht="36.75" customHeight="1">
      <c r="B29" s="343"/>
      <c r="C29" s="45" t="s">
        <v>27</v>
      </c>
      <c r="D29" s="24">
        <v>35.14</v>
      </c>
      <c r="E29" s="24">
        <v>7.03</v>
      </c>
      <c r="F29" s="55">
        <v>1</v>
      </c>
      <c r="G29" s="22"/>
    </row>
    <row r="30" spans="2:7" ht="36.75" customHeight="1">
      <c r="B30" s="343"/>
      <c r="C30" s="45" t="s">
        <v>28</v>
      </c>
      <c r="D30" s="24">
        <v>113.89</v>
      </c>
      <c r="E30" s="24">
        <v>2.81</v>
      </c>
      <c r="F30" s="55">
        <v>1</v>
      </c>
      <c r="G30" s="22"/>
    </row>
    <row r="31" spans="2:7" ht="36.75" customHeight="1">
      <c r="B31" s="343"/>
      <c r="C31" s="45" t="s">
        <v>25</v>
      </c>
      <c r="D31" s="20">
        <f>100.8+50.94</f>
        <v>151.74</v>
      </c>
      <c r="E31" s="20">
        <v>3</v>
      </c>
      <c r="F31" s="54">
        <v>3</v>
      </c>
      <c r="G31" s="22"/>
    </row>
    <row r="32" spans="2:7" ht="36.75" customHeight="1">
      <c r="B32" s="343"/>
      <c r="C32" s="45" t="s">
        <v>29</v>
      </c>
      <c r="D32" s="24">
        <v>281.12</v>
      </c>
      <c r="E32" s="24">
        <v>7.03</v>
      </c>
      <c r="F32" s="55">
        <v>1</v>
      </c>
      <c r="G32" s="22"/>
    </row>
    <row r="33" spans="2:7" ht="36.75" customHeight="1">
      <c r="B33" s="343"/>
      <c r="C33" s="338" t="s">
        <v>30</v>
      </c>
      <c r="D33" s="20">
        <f>89.08+134.4</f>
        <v>223.48000000000002</v>
      </c>
      <c r="E33" s="20">
        <v>3</v>
      </c>
      <c r="F33" s="54">
        <v>3</v>
      </c>
      <c r="G33" s="22"/>
    </row>
    <row r="34" spans="2:7" ht="36.75" customHeight="1">
      <c r="B34" s="343"/>
      <c r="C34" s="339"/>
      <c r="D34" s="20">
        <f>47.78+89.93</f>
        <v>137.71</v>
      </c>
      <c r="E34" s="20">
        <v>4.68</v>
      </c>
      <c r="F34" s="54">
        <v>2</v>
      </c>
      <c r="G34" s="22"/>
    </row>
    <row r="35" spans="2:7" ht="36.75" customHeight="1">
      <c r="B35" s="343"/>
      <c r="C35" s="338" t="s">
        <v>31</v>
      </c>
      <c r="D35" s="20">
        <f>24.99</f>
        <v>24.99</v>
      </c>
      <c r="E35" s="20">
        <v>1.05</v>
      </c>
      <c r="F35" s="54">
        <v>2</v>
      </c>
      <c r="G35" s="22"/>
    </row>
    <row r="36" spans="2:7" ht="36.75" customHeight="1">
      <c r="B36" s="343"/>
      <c r="C36" s="345"/>
      <c r="D36" s="20">
        <f>65.6+52.48+55.1+33.46</f>
        <v>206.64</v>
      </c>
      <c r="E36" s="20">
        <v>1.64</v>
      </c>
      <c r="F36" s="54">
        <v>4</v>
      </c>
      <c r="G36" s="22"/>
    </row>
    <row r="37" spans="2:7" ht="36.75" customHeight="1">
      <c r="B37" s="343"/>
      <c r="C37" s="339"/>
      <c r="D37" s="20">
        <v>0</v>
      </c>
      <c r="E37" s="20">
        <v>3.5</v>
      </c>
      <c r="F37" s="54">
        <v>0</v>
      </c>
      <c r="G37" s="23" t="s">
        <v>17</v>
      </c>
    </row>
    <row r="38" spans="2:7" ht="36.75" customHeight="1">
      <c r="B38" s="343"/>
      <c r="C38" s="338" t="s">
        <v>32</v>
      </c>
      <c r="D38" s="20">
        <v>441</v>
      </c>
      <c r="E38" s="20">
        <v>3.5</v>
      </c>
      <c r="F38" s="54">
        <v>1</v>
      </c>
      <c r="G38" s="23"/>
    </row>
    <row r="39" spans="2:7" ht="41.1" customHeight="1">
      <c r="B39" s="343"/>
      <c r="C39" s="345"/>
      <c r="D39" s="20">
        <v>96.61</v>
      </c>
      <c r="E39" s="20">
        <v>1.05</v>
      </c>
      <c r="F39" s="56">
        <v>1</v>
      </c>
      <c r="G39" s="22"/>
    </row>
    <row r="40" spans="2:7" ht="41.1" customHeight="1">
      <c r="B40" s="343"/>
      <c r="C40" s="345"/>
      <c r="D40" s="20">
        <f>32.47+22.88+25.09</f>
        <v>80.44</v>
      </c>
      <c r="E40" s="20">
        <v>1.64</v>
      </c>
      <c r="F40" s="56">
        <v>3</v>
      </c>
      <c r="G40" s="22"/>
    </row>
    <row r="41" spans="2:7" ht="41.1" customHeight="1">
      <c r="B41" s="343"/>
      <c r="C41" s="339"/>
      <c r="D41" s="20">
        <v>110.7</v>
      </c>
      <c r="E41" s="20">
        <v>4.0999999999999996</v>
      </c>
      <c r="F41" s="56">
        <v>1</v>
      </c>
      <c r="G41" s="23"/>
    </row>
    <row r="42" spans="2:7" ht="36.75" customHeight="1">
      <c r="B42" s="343"/>
      <c r="C42" s="338" t="s">
        <v>33</v>
      </c>
      <c r="D42" s="20">
        <v>165.38</v>
      </c>
      <c r="E42" s="20">
        <v>3</v>
      </c>
      <c r="F42" s="54">
        <v>1</v>
      </c>
      <c r="G42" s="22"/>
    </row>
    <row r="43" spans="2:7" ht="36.75" customHeight="1">
      <c r="B43" s="343"/>
      <c r="C43" s="345"/>
      <c r="D43" s="20">
        <f>92.74</f>
        <v>92.74</v>
      </c>
      <c r="E43" s="20">
        <v>4.68</v>
      </c>
      <c r="F43" s="54">
        <v>1</v>
      </c>
      <c r="G43" s="22"/>
    </row>
    <row r="44" spans="2:7" ht="36.75" customHeight="1">
      <c r="B44" s="343"/>
      <c r="C44" s="339"/>
      <c r="D44" s="20">
        <v>0</v>
      </c>
      <c r="E44" s="20">
        <v>10</v>
      </c>
      <c r="F44" s="54">
        <v>0</v>
      </c>
      <c r="G44" s="23" t="s">
        <v>17</v>
      </c>
    </row>
    <row r="45" spans="2:7" ht="36.75" customHeight="1">
      <c r="B45" s="343"/>
      <c r="C45" s="338" t="s">
        <v>34</v>
      </c>
      <c r="D45" s="20">
        <v>378</v>
      </c>
      <c r="E45" s="20">
        <v>6</v>
      </c>
      <c r="F45" s="54">
        <v>1</v>
      </c>
      <c r="G45" s="23"/>
    </row>
    <row r="46" spans="2:7" ht="36.75" customHeight="1">
      <c r="B46" s="343"/>
      <c r="C46" s="339"/>
      <c r="D46" s="20">
        <v>189.81</v>
      </c>
      <c r="E46" s="20">
        <v>7.03</v>
      </c>
      <c r="F46" s="54">
        <v>1</v>
      </c>
      <c r="G46" s="22"/>
    </row>
    <row r="47" spans="2:7" ht="36.75" customHeight="1">
      <c r="B47" s="343"/>
      <c r="C47" s="338" t="s">
        <v>35</v>
      </c>
      <c r="D47" s="20">
        <v>0</v>
      </c>
      <c r="E47" s="20">
        <v>3.5</v>
      </c>
      <c r="F47" s="54">
        <v>0</v>
      </c>
      <c r="G47" s="23" t="s">
        <v>17</v>
      </c>
    </row>
    <row r="48" spans="2:7" ht="36.75" customHeight="1">
      <c r="B48" s="343"/>
      <c r="C48" s="345"/>
      <c r="D48" s="20">
        <v>18.149999999999999</v>
      </c>
      <c r="E48" s="20">
        <v>1.05</v>
      </c>
      <c r="F48" s="54">
        <v>4</v>
      </c>
      <c r="G48" s="22"/>
    </row>
    <row r="49" spans="2:7" ht="36.75" customHeight="1">
      <c r="B49" s="343"/>
      <c r="C49" s="345"/>
      <c r="D49" s="20">
        <f>19.19+27.06</f>
        <v>46.25</v>
      </c>
      <c r="E49" s="20">
        <v>1.64</v>
      </c>
      <c r="F49" s="54">
        <v>2</v>
      </c>
      <c r="G49" s="22"/>
    </row>
    <row r="50" spans="2:7" ht="36.75" customHeight="1">
      <c r="B50" s="343"/>
      <c r="C50" s="339"/>
      <c r="D50" s="20">
        <v>107.88</v>
      </c>
      <c r="E50" s="20">
        <v>4.0999999999999996</v>
      </c>
      <c r="F50" s="54">
        <v>1</v>
      </c>
      <c r="G50" s="22"/>
    </row>
    <row r="51" spans="2:7" ht="36.75" customHeight="1">
      <c r="B51" s="343"/>
      <c r="C51" s="338" t="s">
        <v>36</v>
      </c>
      <c r="D51" s="20">
        <f>253.7+70.56</f>
        <v>324.26</v>
      </c>
      <c r="E51" s="20">
        <v>1.8</v>
      </c>
      <c r="F51" s="54">
        <v>2</v>
      </c>
      <c r="G51" s="22"/>
    </row>
    <row r="52" spans="2:7" ht="36.75" customHeight="1">
      <c r="B52" s="343"/>
      <c r="C52" s="339"/>
      <c r="D52" s="20">
        <v>37.96</v>
      </c>
      <c r="E52" s="20">
        <v>2.81</v>
      </c>
      <c r="F52" s="54">
        <v>1</v>
      </c>
      <c r="G52" s="22"/>
    </row>
    <row r="53" spans="2:7" ht="36.75" customHeight="1">
      <c r="B53" s="343"/>
      <c r="C53" s="45" t="s">
        <v>37</v>
      </c>
      <c r="D53" s="20">
        <v>120.49</v>
      </c>
      <c r="E53" s="20">
        <v>4.5</v>
      </c>
      <c r="F53" s="54">
        <v>1</v>
      </c>
      <c r="G53" s="22"/>
    </row>
    <row r="54" spans="2:7" ht="36.75" customHeight="1">
      <c r="B54" s="343"/>
      <c r="C54" s="338" t="s">
        <v>38</v>
      </c>
      <c r="D54" s="20">
        <f>254.52+23.88</f>
        <v>278.40000000000003</v>
      </c>
      <c r="E54" s="20">
        <v>1.8</v>
      </c>
      <c r="F54" s="54">
        <v>4</v>
      </c>
      <c r="G54" s="22"/>
    </row>
    <row r="55" spans="2:7" ht="36.75" customHeight="1">
      <c r="B55" s="343"/>
      <c r="C55" s="339"/>
      <c r="D55" s="20">
        <f>37.96+113.04</f>
        <v>151</v>
      </c>
      <c r="E55" s="20">
        <v>2.81</v>
      </c>
      <c r="F55" s="54">
        <v>2</v>
      </c>
      <c r="G55" s="22"/>
    </row>
    <row r="56" spans="2:7" ht="36.75" customHeight="1">
      <c r="B56" s="343"/>
      <c r="C56" s="46" t="s">
        <v>39</v>
      </c>
      <c r="D56" s="20">
        <f>264.6+1425.9+178.5</f>
        <v>1869</v>
      </c>
      <c r="E56" s="20">
        <v>3</v>
      </c>
      <c r="F56" s="54">
        <v>3</v>
      </c>
      <c r="G56" s="22"/>
    </row>
    <row r="57" spans="2:7" ht="36.75" customHeight="1">
      <c r="B57" s="343"/>
      <c r="C57" s="46" t="s">
        <v>39</v>
      </c>
      <c r="D57" s="20">
        <f>132.79+821.52</f>
        <v>954.31</v>
      </c>
      <c r="E57" s="20">
        <v>3.51</v>
      </c>
      <c r="F57" s="54">
        <v>2</v>
      </c>
      <c r="G57" s="22"/>
    </row>
    <row r="58" spans="2:7" ht="36.75" customHeight="1">
      <c r="B58" s="343"/>
      <c r="C58" s="46" t="s">
        <v>40</v>
      </c>
      <c r="D58" s="20">
        <f>244.02+77.18+69.83</f>
        <v>391.03000000000003</v>
      </c>
      <c r="E58" s="20">
        <v>1.05</v>
      </c>
      <c r="F58" s="54">
        <v>3</v>
      </c>
      <c r="G58" s="22"/>
    </row>
    <row r="59" spans="2:7" ht="36.75" customHeight="1">
      <c r="B59" s="343"/>
      <c r="C59" s="46" t="s">
        <v>41</v>
      </c>
      <c r="D59" s="20">
        <v>488.45</v>
      </c>
      <c r="E59" s="20">
        <v>2.11</v>
      </c>
      <c r="F59" s="56">
        <v>1</v>
      </c>
      <c r="G59" s="22"/>
    </row>
    <row r="60" spans="2:7" ht="36.75" customHeight="1">
      <c r="B60" s="343"/>
      <c r="C60" s="46" t="s">
        <v>41</v>
      </c>
      <c r="D60" s="20">
        <v>232.47</v>
      </c>
      <c r="E60" s="20">
        <v>1.23</v>
      </c>
      <c r="F60" s="54">
        <v>1</v>
      </c>
      <c r="G60" s="22"/>
    </row>
    <row r="61" spans="2:7" ht="36.75" customHeight="1">
      <c r="B61" s="343"/>
      <c r="C61" s="338" t="s">
        <v>42</v>
      </c>
      <c r="D61" s="20">
        <f>72+135.28</f>
        <v>207.28</v>
      </c>
      <c r="E61" s="20">
        <v>3</v>
      </c>
      <c r="F61" s="54">
        <v>3</v>
      </c>
      <c r="G61" s="22"/>
    </row>
    <row r="62" spans="2:7" ht="36.75" customHeight="1">
      <c r="B62" s="343"/>
      <c r="C62" s="339"/>
      <c r="D62" s="20">
        <f>237.13+106.44+79.04</f>
        <v>422.61</v>
      </c>
      <c r="E62" s="20">
        <v>3.51</v>
      </c>
      <c r="F62" s="54">
        <v>3</v>
      </c>
      <c r="G62" s="22"/>
    </row>
    <row r="63" spans="2:7" ht="36.75" customHeight="1">
      <c r="B63" s="343"/>
      <c r="C63" s="348" t="s">
        <v>43</v>
      </c>
      <c r="D63" s="20">
        <f>8.91+12.82+49.49</f>
        <v>71.22</v>
      </c>
      <c r="E63" s="20">
        <v>1.8</v>
      </c>
      <c r="F63" s="54">
        <v>6</v>
      </c>
      <c r="G63" s="22"/>
    </row>
    <row r="64" spans="2:7" ht="36.75" customHeight="1">
      <c r="B64" s="343"/>
      <c r="C64" s="349"/>
      <c r="D64" s="20">
        <f>209.42+83.2+17.08+24.68</f>
        <v>334.38</v>
      </c>
      <c r="E64" s="20">
        <v>2.11</v>
      </c>
      <c r="F64" s="54">
        <v>4</v>
      </c>
      <c r="G64" s="22"/>
    </row>
    <row r="65" spans="2:7" ht="36.75" customHeight="1">
      <c r="B65" s="343"/>
      <c r="C65" s="47" t="s">
        <v>44</v>
      </c>
      <c r="D65" s="20">
        <v>0</v>
      </c>
      <c r="E65" s="20">
        <v>3.5</v>
      </c>
      <c r="F65" s="54">
        <v>0</v>
      </c>
      <c r="G65" s="23" t="s">
        <v>17</v>
      </c>
    </row>
    <row r="66" spans="2:7" ht="36.75" customHeight="1">
      <c r="B66" s="343"/>
      <c r="C66" s="346" t="s">
        <v>45</v>
      </c>
      <c r="D66" s="20">
        <v>352.8</v>
      </c>
      <c r="E66" s="20">
        <v>1.05</v>
      </c>
      <c r="F66" s="54">
        <v>1</v>
      </c>
      <c r="G66" s="22"/>
    </row>
    <row r="67" spans="2:7" ht="36.75" customHeight="1">
      <c r="B67" s="343"/>
      <c r="C67" s="347"/>
      <c r="D67" s="20">
        <v>39.36</v>
      </c>
      <c r="E67" s="20">
        <v>1.23</v>
      </c>
      <c r="F67" s="54">
        <v>1</v>
      </c>
      <c r="G67" s="22"/>
    </row>
    <row r="68" spans="2:7" ht="36.75" customHeight="1">
      <c r="B68" s="343"/>
      <c r="C68" s="346" t="s">
        <v>46</v>
      </c>
      <c r="D68" s="25">
        <f>388.5+151.2+65.1</f>
        <v>604.80000000000007</v>
      </c>
      <c r="E68" s="20">
        <v>3</v>
      </c>
      <c r="F68" s="54">
        <v>3</v>
      </c>
      <c r="G68" s="22"/>
    </row>
    <row r="69" spans="2:7" ht="36.75" customHeight="1">
      <c r="B69" s="343"/>
      <c r="C69" s="350"/>
      <c r="D69" s="25">
        <v>194.97</v>
      </c>
      <c r="E69" s="20">
        <v>3.51</v>
      </c>
      <c r="F69" s="54">
        <v>1</v>
      </c>
      <c r="G69" s="22"/>
    </row>
    <row r="70" spans="2:7" ht="36.75" customHeight="1">
      <c r="B70" s="343"/>
      <c r="C70" s="347"/>
      <c r="D70" s="25">
        <f>50.62+39.23</f>
        <v>89.85</v>
      </c>
      <c r="E70" s="20">
        <v>2.11</v>
      </c>
      <c r="F70" s="54">
        <v>2</v>
      </c>
      <c r="G70" s="22"/>
    </row>
    <row r="71" spans="2:7" ht="36.75" customHeight="1">
      <c r="B71" s="343"/>
      <c r="C71" s="346" t="s">
        <v>47</v>
      </c>
      <c r="D71" s="20">
        <f>32.4+33.32+87.86+62.37</f>
        <v>215.95</v>
      </c>
      <c r="E71" s="20">
        <v>3</v>
      </c>
      <c r="F71" s="54">
        <v>6</v>
      </c>
      <c r="G71" s="22"/>
    </row>
    <row r="72" spans="2:7" ht="36.75" customHeight="1">
      <c r="B72" s="343"/>
      <c r="C72" s="347"/>
      <c r="D72" s="20">
        <f>69.56+136.48+76.93+86.95+41.1+112.24</f>
        <v>523.26</v>
      </c>
      <c r="E72" s="20">
        <v>3.51</v>
      </c>
      <c r="F72" s="54">
        <v>6</v>
      </c>
      <c r="G72" s="22"/>
    </row>
    <row r="73" spans="2:7" ht="36.75" customHeight="1">
      <c r="B73" s="343"/>
      <c r="C73" s="45" t="s">
        <v>48</v>
      </c>
      <c r="D73" s="20">
        <f>207.9+443.1+194.92+1394.4</f>
        <v>2240.3200000000002</v>
      </c>
      <c r="E73" s="20">
        <v>3</v>
      </c>
      <c r="F73" s="54">
        <v>3</v>
      </c>
      <c r="G73" s="22"/>
    </row>
    <row r="74" spans="2:7" ht="36.75" customHeight="1">
      <c r="B74" s="343"/>
      <c r="C74" s="45" t="s">
        <v>48</v>
      </c>
      <c r="D74" s="20">
        <f>1377.1+102.76+219.21+686.62</f>
        <v>2385.69</v>
      </c>
      <c r="E74" s="20">
        <v>3.51</v>
      </c>
      <c r="F74" s="54">
        <v>4</v>
      </c>
      <c r="G74" s="22"/>
    </row>
    <row r="75" spans="2:7" ht="36.75" customHeight="1">
      <c r="B75" s="343"/>
      <c r="C75" s="45" t="s">
        <v>49</v>
      </c>
      <c r="D75" s="20">
        <v>43.05</v>
      </c>
      <c r="E75" s="20">
        <v>4.0999999999999996</v>
      </c>
      <c r="F75" s="54">
        <v>1</v>
      </c>
      <c r="G75" s="22"/>
    </row>
    <row r="76" spans="2:7" ht="36.75" customHeight="1">
      <c r="B76" s="343"/>
      <c r="C76" s="45" t="s">
        <v>49</v>
      </c>
      <c r="D76" s="20">
        <v>964.32</v>
      </c>
      <c r="E76" s="20">
        <v>1.23</v>
      </c>
      <c r="F76" s="54">
        <v>1</v>
      </c>
      <c r="G76" s="22"/>
    </row>
    <row r="77" spans="2:7" ht="36.75" customHeight="1">
      <c r="B77" s="343"/>
      <c r="C77" s="338" t="s">
        <v>50</v>
      </c>
      <c r="D77" s="20">
        <f>939.75+705.6</f>
        <v>1645.35</v>
      </c>
      <c r="E77" s="20">
        <v>3</v>
      </c>
      <c r="F77" s="54">
        <v>3</v>
      </c>
      <c r="G77" s="22"/>
    </row>
    <row r="78" spans="2:7" ht="36.75" customHeight="1">
      <c r="B78" s="343"/>
      <c r="C78" s="339"/>
      <c r="D78" s="20">
        <v>217.81</v>
      </c>
      <c r="E78" s="20">
        <v>3.51</v>
      </c>
      <c r="F78" s="54">
        <v>1</v>
      </c>
      <c r="G78" s="22"/>
    </row>
    <row r="79" spans="2:7" ht="36.75" customHeight="1">
      <c r="B79" s="343"/>
      <c r="C79" s="338" t="s">
        <v>51</v>
      </c>
      <c r="D79" s="20">
        <f>341.78+51.45</f>
        <v>393.22999999999996</v>
      </c>
      <c r="E79" s="20">
        <v>1.05</v>
      </c>
      <c r="F79" s="54">
        <v>2</v>
      </c>
      <c r="G79" s="22"/>
    </row>
    <row r="80" spans="2:7" ht="36.75" customHeight="1">
      <c r="B80" s="343"/>
      <c r="C80" s="339"/>
      <c r="D80" s="20">
        <f>62.18+45.76</f>
        <v>107.94</v>
      </c>
      <c r="E80" s="20">
        <v>1.23</v>
      </c>
      <c r="F80" s="54">
        <v>2</v>
      </c>
      <c r="G80" s="22"/>
    </row>
    <row r="81" spans="2:7" ht="36.75" customHeight="1">
      <c r="B81" s="343"/>
      <c r="C81" s="338" t="s">
        <v>52</v>
      </c>
      <c r="D81" s="20">
        <v>0</v>
      </c>
      <c r="E81" s="20">
        <v>1.05</v>
      </c>
      <c r="F81" s="54">
        <v>0</v>
      </c>
      <c r="G81" s="23" t="s">
        <v>17</v>
      </c>
    </row>
    <row r="82" spans="2:7" ht="36.75" customHeight="1">
      <c r="B82" s="343"/>
      <c r="C82" s="339"/>
      <c r="D82" s="20">
        <v>46.05</v>
      </c>
      <c r="E82" s="20">
        <v>1.23</v>
      </c>
      <c r="F82" s="54">
        <v>1</v>
      </c>
      <c r="G82" s="22"/>
    </row>
    <row r="83" spans="2:7" ht="36.75" customHeight="1">
      <c r="B83" s="343"/>
      <c r="C83" s="45" t="s">
        <v>53</v>
      </c>
      <c r="D83" s="20">
        <v>0</v>
      </c>
      <c r="E83" s="20">
        <v>3</v>
      </c>
      <c r="F83" s="54">
        <v>0</v>
      </c>
      <c r="G83" s="23" t="s">
        <v>17</v>
      </c>
    </row>
    <row r="84" spans="2:7" ht="36.75" customHeight="1">
      <c r="B84" s="343"/>
      <c r="C84" s="338" t="s">
        <v>54</v>
      </c>
      <c r="D84" s="20">
        <v>43.04</v>
      </c>
      <c r="E84" s="20">
        <v>3</v>
      </c>
      <c r="F84" s="54">
        <v>3</v>
      </c>
      <c r="G84" s="22"/>
    </row>
    <row r="85" spans="2:7" ht="36.75" customHeight="1">
      <c r="B85" s="343"/>
      <c r="C85" s="339"/>
      <c r="D85" s="20">
        <f>69.56+149.3</f>
        <v>218.86</v>
      </c>
      <c r="E85" s="20">
        <v>3.51</v>
      </c>
      <c r="F85" s="54">
        <v>2</v>
      </c>
      <c r="G85" s="22"/>
    </row>
    <row r="86" spans="2:7" ht="36.75" customHeight="1">
      <c r="B86" s="343"/>
      <c r="C86" s="346" t="s">
        <v>55</v>
      </c>
      <c r="D86" s="20">
        <f>229.96+113.4</f>
        <v>343.36</v>
      </c>
      <c r="E86" s="20">
        <v>3</v>
      </c>
      <c r="F86" s="54">
        <v>2</v>
      </c>
      <c r="G86" s="22"/>
    </row>
    <row r="87" spans="2:7" ht="36.75" customHeight="1">
      <c r="B87" s="343"/>
      <c r="C87" s="347"/>
      <c r="D87" s="20">
        <f>158.09+80.1</f>
        <v>238.19</v>
      </c>
      <c r="E87" s="20">
        <v>3.51</v>
      </c>
      <c r="F87" s="54">
        <v>2</v>
      </c>
      <c r="G87" s="22"/>
    </row>
    <row r="88" spans="2:7" ht="36.75" customHeight="1">
      <c r="B88" s="343"/>
      <c r="C88" s="46" t="s">
        <v>56</v>
      </c>
      <c r="D88" s="20">
        <v>24.99</v>
      </c>
      <c r="E88" s="20">
        <v>1.05</v>
      </c>
      <c r="F88" s="54">
        <v>2</v>
      </c>
      <c r="G88" s="22"/>
    </row>
    <row r="89" spans="2:7" ht="36.75" customHeight="1">
      <c r="B89" s="343"/>
      <c r="C89" s="46" t="s">
        <v>56</v>
      </c>
      <c r="D89" s="20">
        <f>61.25+88.2</f>
        <v>149.44999999999999</v>
      </c>
      <c r="E89" s="20">
        <v>3.5</v>
      </c>
      <c r="F89" s="54">
        <v>2</v>
      </c>
      <c r="G89" s="23"/>
    </row>
    <row r="90" spans="2:7" ht="36.75" customHeight="1">
      <c r="B90" s="343"/>
      <c r="C90" s="346" t="s">
        <v>57</v>
      </c>
      <c r="D90" s="20">
        <f>106.5+157.5</f>
        <v>264</v>
      </c>
      <c r="E90" s="20">
        <v>3</v>
      </c>
      <c r="F90" s="56">
        <v>2</v>
      </c>
      <c r="G90" s="22"/>
    </row>
    <row r="91" spans="2:7" ht="36.75" customHeight="1">
      <c r="B91" s="343"/>
      <c r="C91" s="347"/>
      <c r="D91" s="20">
        <v>87.12</v>
      </c>
      <c r="E91" s="20">
        <v>4.68</v>
      </c>
      <c r="F91" s="56">
        <v>1</v>
      </c>
      <c r="G91" s="22"/>
    </row>
    <row r="92" spans="2:7" ht="29.25" customHeight="1">
      <c r="B92" s="343"/>
      <c r="C92" s="346" t="s">
        <v>58</v>
      </c>
      <c r="D92" s="20">
        <f>198.92+118.32</f>
        <v>317.24</v>
      </c>
      <c r="E92" s="20">
        <v>3</v>
      </c>
      <c r="F92" s="54">
        <v>3</v>
      </c>
      <c r="G92" s="22"/>
    </row>
    <row r="93" spans="2:7" ht="29.25" customHeight="1">
      <c r="B93" s="343"/>
      <c r="C93" s="347"/>
      <c r="D93" s="20">
        <f>95.55+40.75</f>
        <v>136.30000000000001</v>
      </c>
      <c r="E93" s="20">
        <v>4.68</v>
      </c>
      <c r="F93" s="54">
        <v>2</v>
      </c>
      <c r="G93" s="22"/>
    </row>
    <row r="94" spans="2:7" ht="29.25" customHeight="1">
      <c r="B94" s="343"/>
      <c r="C94" s="46" t="s">
        <v>59</v>
      </c>
      <c r="D94" s="20">
        <v>368.97</v>
      </c>
      <c r="E94" s="20">
        <v>5.27</v>
      </c>
      <c r="F94" s="54">
        <v>1</v>
      </c>
      <c r="G94" s="22"/>
    </row>
    <row r="95" spans="2:7" ht="29.25" customHeight="1">
      <c r="B95" s="343"/>
      <c r="C95" s="46" t="s">
        <v>60</v>
      </c>
      <c r="D95" s="20">
        <f>90.61+147.63</f>
        <v>238.24</v>
      </c>
      <c r="E95" s="20">
        <v>1.8</v>
      </c>
      <c r="F95" s="54">
        <v>1</v>
      </c>
      <c r="G95" s="22"/>
    </row>
    <row r="96" spans="2:7" ht="29.25" customHeight="1">
      <c r="B96" s="343"/>
      <c r="C96" s="46" t="s">
        <v>61</v>
      </c>
      <c r="D96" s="20">
        <v>239.42</v>
      </c>
      <c r="E96" s="20">
        <v>1.8</v>
      </c>
      <c r="F96" s="54">
        <v>2</v>
      </c>
      <c r="G96" s="22"/>
    </row>
    <row r="97" spans="2:7" ht="29.25" customHeight="1">
      <c r="B97" s="343"/>
      <c r="C97" s="346" t="s">
        <v>62</v>
      </c>
      <c r="D97" s="20">
        <f>239.4+1365.21</f>
        <v>1604.6100000000001</v>
      </c>
      <c r="E97" s="20">
        <v>1.8</v>
      </c>
      <c r="F97" s="54">
        <v>2</v>
      </c>
      <c r="G97" s="22"/>
    </row>
    <row r="98" spans="2:7" ht="29.25" customHeight="1">
      <c r="B98" s="343"/>
      <c r="C98" s="347"/>
      <c r="D98" s="20">
        <f>670.66+196.14</f>
        <v>866.8</v>
      </c>
      <c r="E98" s="20">
        <v>2.11</v>
      </c>
      <c r="F98" s="54">
        <v>2</v>
      </c>
      <c r="G98" s="22"/>
    </row>
    <row r="99" spans="2:7" ht="29.25" customHeight="1">
      <c r="B99" s="343"/>
      <c r="C99" s="346" t="s">
        <v>63</v>
      </c>
      <c r="D99" s="20">
        <v>477.54</v>
      </c>
      <c r="E99" s="20">
        <v>1.8</v>
      </c>
      <c r="F99" s="54">
        <v>1</v>
      </c>
      <c r="G99" s="22"/>
    </row>
    <row r="100" spans="2:7" ht="29.25" customHeight="1">
      <c r="B100" s="343"/>
      <c r="C100" s="347"/>
      <c r="D100" s="20">
        <f>238.53+49.35</f>
        <v>287.88</v>
      </c>
      <c r="E100" s="20">
        <v>2.11</v>
      </c>
      <c r="F100" s="54">
        <v>2</v>
      </c>
      <c r="G100" s="22"/>
    </row>
    <row r="101" spans="2:7" ht="29.25" customHeight="1">
      <c r="B101" s="343"/>
      <c r="C101" s="46" t="s">
        <v>64</v>
      </c>
      <c r="D101" s="20">
        <v>185.22</v>
      </c>
      <c r="E101" s="20">
        <v>1.05</v>
      </c>
      <c r="F101" s="54">
        <v>1</v>
      </c>
      <c r="G101" s="22"/>
    </row>
    <row r="102" spans="2:7" ht="29.25" customHeight="1">
      <c r="B102" s="343"/>
      <c r="C102" s="46" t="s">
        <v>65</v>
      </c>
      <c r="D102" s="20">
        <v>306.18</v>
      </c>
      <c r="E102" s="20">
        <v>1.8</v>
      </c>
      <c r="F102" s="56">
        <v>1</v>
      </c>
      <c r="G102" s="22"/>
    </row>
    <row r="103" spans="2:7" ht="29.25" customHeight="1">
      <c r="B103" s="343"/>
      <c r="C103" s="46" t="s">
        <v>65</v>
      </c>
      <c r="D103" s="20">
        <v>46.82</v>
      </c>
      <c r="E103" s="20">
        <v>2.11</v>
      </c>
      <c r="F103" s="56">
        <v>1</v>
      </c>
      <c r="G103" s="22"/>
    </row>
    <row r="104" spans="2:7" ht="29.25" customHeight="1">
      <c r="B104" s="343"/>
      <c r="C104" s="46" t="s">
        <v>66</v>
      </c>
      <c r="D104" s="20">
        <v>91.14</v>
      </c>
      <c r="E104" s="20">
        <v>1.05</v>
      </c>
      <c r="F104" s="54">
        <v>1</v>
      </c>
      <c r="G104" s="22"/>
    </row>
    <row r="105" spans="2:7" ht="29.25" customHeight="1">
      <c r="B105" s="343"/>
      <c r="C105" s="46" t="s">
        <v>67</v>
      </c>
      <c r="D105" s="20">
        <v>195.3</v>
      </c>
      <c r="E105" s="20">
        <v>1.8</v>
      </c>
      <c r="F105" s="54">
        <v>3</v>
      </c>
      <c r="G105" s="22"/>
    </row>
    <row r="106" spans="2:7" ht="29.25" customHeight="1">
      <c r="B106" s="343"/>
      <c r="C106" s="346" t="s">
        <v>68</v>
      </c>
      <c r="D106" s="20">
        <f>71.4+195.3+110.25</f>
        <v>376.95000000000005</v>
      </c>
      <c r="E106" s="20">
        <v>3</v>
      </c>
      <c r="F106" s="54">
        <v>3</v>
      </c>
      <c r="G106" s="22"/>
    </row>
    <row r="107" spans="2:7" ht="29.25" customHeight="1">
      <c r="B107" s="343"/>
      <c r="C107" s="347"/>
      <c r="D107" s="20">
        <f>60.07+112.42+237.13</f>
        <v>409.62</v>
      </c>
      <c r="E107" s="20">
        <v>3.51</v>
      </c>
      <c r="F107" s="54">
        <v>3</v>
      </c>
      <c r="G107" s="22"/>
    </row>
    <row r="108" spans="2:7" ht="29.25" customHeight="1">
      <c r="B108" s="343"/>
      <c r="C108" s="46" t="s">
        <v>69</v>
      </c>
      <c r="D108" s="20">
        <v>137.81</v>
      </c>
      <c r="E108" s="20">
        <v>3.5</v>
      </c>
      <c r="F108" s="54">
        <v>1</v>
      </c>
      <c r="G108" s="22"/>
    </row>
    <row r="109" spans="2:7" ht="29.25" customHeight="1">
      <c r="B109" s="344"/>
      <c r="C109" s="46" t="s">
        <v>69</v>
      </c>
      <c r="D109" s="20">
        <v>1005.48</v>
      </c>
      <c r="E109" s="20">
        <v>1.05</v>
      </c>
      <c r="F109" s="54">
        <v>1</v>
      </c>
      <c r="G109" s="22"/>
    </row>
    <row r="110" spans="2:7" ht="25.5" customHeight="1">
      <c r="B110" s="26" t="s">
        <v>70</v>
      </c>
      <c r="C110" s="46"/>
      <c r="D110" s="27">
        <f>SUM(D8:D109)</f>
        <v>39550.509999999995</v>
      </c>
      <c r="E110" s="27">
        <f>SUM(E8:E109)</f>
        <v>306.80000000000013</v>
      </c>
      <c r="F110" s="57">
        <f>SUM(F8:F109)</f>
        <v>204</v>
      </c>
      <c r="G110" s="28"/>
    </row>
    <row r="111" spans="2:7" ht="28.8">
      <c r="B111" s="355" t="s">
        <v>71</v>
      </c>
      <c r="C111" s="21" t="s">
        <v>72</v>
      </c>
      <c r="D111" s="24">
        <v>0</v>
      </c>
      <c r="E111" s="24">
        <v>42</v>
      </c>
      <c r="F111" s="58">
        <v>4</v>
      </c>
      <c r="G111" s="23" t="s">
        <v>73</v>
      </c>
    </row>
    <row r="112" spans="2:7" ht="28.8">
      <c r="B112" s="356"/>
      <c r="C112" s="21" t="s">
        <v>74</v>
      </c>
      <c r="D112" s="20">
        <v>124</v>
      </c>
      <c r="E112" s="20">
        <v>124</v>
      </c>
      <c r="F112" s="54">
        <v>1</v>
      </c>
      <c r="G112" s="30"/>
    </row>
    <row r="113" spans="2:9" ht="25.5" customHeight="1">
      <c r="B113" s="356"/>
      <c r="C113" s="21" t="s">
        <v>75</v>
      </c>
      <c r="D113" s="20">
        <v>0</v>
      </c>
      <c r="E113" s="20">
        <v>37</v>
      </c>
      <c r="F113" s="54">
        <v>2</v>
      </c>
      <c r="G113" s="23" t="s">
        <v>73</v>
      </c>
    </row>
    <row r="114" spans="2:9" ht="24" customHeight="1">
      <c r="B114" s="357"/>
      <c r="C114" s="21" t="s">
        <v>76</v>
      </c>
      <c r="D114" s="20">
        <v>0</v>
      </c>
      <c r="E114" s="20">
        <v>17</v>
      </c>
      <c r="F114" s="54">
        <v>0</v>
      </c>
      <c r="G114" s="30" t="s">
        <v>17</v>
      </c>
    </row>
    <row r="115" spans="2:9" ht="25.5" customHeight="1">
      <c r="B115" s="26" t="s">
        <v>70</v>
      </c>
      <c r="C115" s="21"/>
      <c r="D115" s="31">
        <f>SUM(D111:D114)</f>
        <v>124</v>
      </c>
      <c r="E115" s="31">
        <f>SUM(E111:E114)</f>
        <v>220</v>
      </c>
      <c r="F115" s="59">
        <f>SUM(F111:F114)</f>
        <v>7</v>
      </c>
      <c r="G115" s="28"/>
      <c r="H115" s="32"/>
      <c r="I115" s="32"/>
    </row>
    <row r="116" spans="2:9" ht="31.5" customHeight="1">
      <c r="B116" s="33" t="s">
        <v>77</v>
      </c>
      <c r="C116" s="34"/>
      <c r="D116" s="34"/>
      <c r="E116" s="34"/>
      <c r="F116" s="34"/>
      <c r="G116" s="35"/>
    </row>
    <row r="117" spans="2:9" s="36" customFormat="1" ht="53.25" customHeight="1">
      <c r="B117" s="17" t="s">
        <v>9</v>
      </c>
      <c r="C117" s="17" t="s">
        <v>78</v>
      </c>
      <c r="D117" s="18" t="s">
        <v>11</v>
      </c>
      <c r="E117" s="18" t="s">
        <v>79</v>
      </c>
      <c r="F117" s="17" t="s">
        <v>2</v>
      </c>
      <c r="G117" s="19" t="s">
        <v>80</v>
      </c>
    </row>
    <row r="118" spans="2:9" ht="33" customHeight="1">
      <c r="B118" s="29" t="s">
        <v>81</v>
      </c>
      <c r="C118" s="48"/>
      <c r="D118" s="51">
        <v>0</v>
      </c>
      <c r="E118" s="51">
        <v>0</v>
      </c>
      <c r="F118" s="55">
        <v>0</v>
      </c>
      <c r="G118" s="30" t="s">
        <v>17</v>
      </c>
    </row>
    <row r="119" spans="2:9" ht="24.75" customHeight="1">
      <c r="B119" s="26" t="s">
        <v>70</v>
      </c>
      <c r="C119" s="39"/>
      <c r="D119" s="37">
        <f>SUM(D118)</f>
        <v>0</v>
      </c>
      <c r="E119" s="37">
        <f>SUM(E118)</f>
        <v>0</v>
      </c>
      <c r="F119" s="60">
        <f>SUM(F118)</f>
        <v>0</v>
      </c>
      <c r="G119" s="22"/>
    </row>
    <row r="120" spans="2:9" ht="28.5" customHeight="1">
      <c r="B120" s="351" t="s">
        <v>82</v>
      </c>
      <c r="C120" s="21" t="s">
        <v>83</v>
      </c>
      <c r="D120" s="52">
        <f>78+7105.91+3461+476+578+901.67+338.3+148+520.86+85+85+15.67+62.22+65</f>
        <v>13920.63</v>
      </c>
      <c r="E120" s="52">
        <v>13587</v>
      </c>
      <c r="F120" s="61">
        <v>165</v>
      </c>
      <c r="G120" s="23" t="s">
        <v>84</v>
      </c>
    </row>
    <row r="121" spans="2:9" ht="28.5" customHeight="1">
      <c r="B121" s="352"/>
      <c r="C121" s="21" t="s">
        <v>85</v>
      </c>
      <c r="D121" s="52">
        <f>4500+200+800+588.93+178+345.2+146.13+23.3+8.64</f>
        <v>6790.2000000000007</v>
      </c>
      <c r="E121" s="52">
        <v>6600</v>
      </c>
      <c r="F121" s="61">
        <v>68</v>
      </c>
      <c r="G121" s="23" t="s">
        <v>84</v>
      </c>
    </row>
    <row r="122" spans="2:9" ht="28.5" customHeight="1">
      <c r="B122" s="352"/>
      <c r="C122" s="21" t="s">
        <v>86</v>
      </c>
      <c r="D122" s="52">
        <f>818+171+49+79+189.14+60+23</f>
        <v>1389.1399999999999</v>
      </c>
      <c r="E122" s="52">
        <v>1363</v>
      </c>
      <c r="F122" s="61">
        <v>27</v>
      </c>
      <c r="G122" s="23" t="s">
        <v>84</v>
      </c>
    </row>
    <row r="123" spans="2:9" ht="28.5" customHeight="1">
      <c r="B123" s="352"/>
      <c r="C123" s="21" t="s">
        <v>87</v>
      </c>
      <c r="D123" s="51">
        <f>748+87</f>
        <v>835</v>
      </c>
      <c r="E123" s="51">
        <v>929</v>
      </c>
      <c r="F123" s="61">
        <v>9</v>
      </c>
      <c r="G123" s="23"/>
    </row>
    <row r="124" spans="2:9" ht="28.5" customHeight="1">
      <c r="B124" s="353"/>
      <c r="C124" s="21" t="s">
        <v>88</v>
      </c>
      <c r="D124" s="51">
        <f>2251.28+54+13.3+7.1+9.02</f>
        <v>2334.7000000000003</v>
      </c>
      <c r="E124" s="51">
        <v>2802</v>
      </c>
      <c r="F124" s="61">
        <v>55</v>
      </c>
      <c r="G124" s="23"/>
    </row>
    <row r="125" spans="2:9" ht="28.5" customHeight="1">
      <c r="B125" s="26" t="s">
        <v>70</v>
      </c>
      <c r="C125" s="39"/>
      <c r="D125" s="53">
        <f>SUM(D120:D124)</f>
        <v>25269.670000000002</v>
      </c>
      <c r="E125" s="53">
        <f>SUM(E120:E124)</f>
        <v>25281</v>
      </c>
      <c r="F125" s="62">
        <f>SUM(F120:F124)</f>
        <v>324</v>
      </c>
      <c r="G125" s="22"/>
    </row>
    <row r="126" spans="2:9" ht="24" customHeight="1">
      <c r="B126" s="351" t="s">
        <v>89</v>
      </c>
      <c r="C126" s="21" t="s">
        <v>90</v>
      </c>
      <c r="D126" s="51">
        <v>1894.62</v>
      </c>
      <c r="E126" s="51">
        <v>1894.62</v>
      </c>
      <c r="F126" s="54">
        <v>1</v>
      </c>
      <c r="G126" s="23"/>
    </row>
    <row r="127" spans="2:9" ht="24" customHeight="1">
      <c r="B127" s="352"/>
      <c r="C127" s="21" t="s">
        <v>91</v>
      </c>
      <c r="D127" s="51">
        <v>0</v>
      </c>
      <c r="E127" s="51">
        <v>0</v>
      </c>
      <c r="F127" s="54">
        <v>0</v>
      </c>
      <c r="G127" s="30" t="s">
        <v>17</v>
      </c>
    </row>
    <row r="128" spans="2:9" ht="24" customHeight="1">
      <c r="B128" s="353"/>
      <c r="C128" s="21" t="s">
        <v>92</v>
      </c>
      <c r="D128" s="51">
        <v>70958.759999999995</v>
      </c>
      <c r="E128" s="51">
        <v>70958.759999999995</v>
      </c>
      <c r="F128" s="54">
        <v>1</v>
      </c>
      <c r="G128" s="23"/>
    </row>
    <row r="129" spans="2:8" ht="27" customHeight="1">
      <c r="B129" s="26" t="s">
        <v>70</v>
      </c>
      <c r="C129" s="39"/>
      <c r="D129" s="53">
        <f>SUM(D126:D128)</f>
        <v>72853.37999999999</v>
      </c>
      <c r="E129" s="53">
        <f>SUM(E126:E128)</f>
        <v>72853.37999999999</v>
      </c>
      <c r="F129" s="62">
        <f>SUM(F126:F128)</f>
        <v>2</v>
      </c>
      <c r="G129" s="22"/>
    </row>
    <row r="130" spans="2:8" ht="30" customHeight="1">
      <c r="B130" s="351" t="s">
        <v>93</v>
      </c>
      <c r="C130" s="21" t="s">
        <v>94</v>
      </c>
      <c r="D130" s="51">
        <v>3144.65</v>
      </c>
      <c r="E130" s="51">
        <v>3144.65</v>
      </c>
      <c r="F130" s="54">
        <v>1</v>
      </c>
      <c r="G130" s="22"/>
    </row>
    <row r="131" spans="2:8" ht="32.4" customHeight="1">
      <c r="B131" s="353"/>
      <c r="C131" s="49" t="s">
        <v>95</v>
      </c>
      <c r="D131" s="51">
        <v>346.27</v>
      </c>
      <c r="E131" s="51">
        <v>692.55</v>
      </c>
      <c r="F131" s="54">
        <v>1</v>
      </c>
      <c r="G131" s="22"/>
    </row>
    <row r="132" spans="2:8" ht="24" customHeight="1">
      <c r="B132" s="26" t="s">
        <v>70</v>
      </c>
      <c r="C132" s="39"/>
      <c r="D132" s="53">
        <f>SUM(D130:D131)</f>
        <v>3490.92</v>
      </c>
      <c r="E132" s="53">
        <f>SUM(E130:E131)</f>
        <v>3837.2</v>
      </c>
      <c r="F132" s="62">
        <f>SUM(F130:F131)</f>
        <v>2</v>
      </c>
      <c r="G132" s="22"/>
    </row>
    <row r="133" spans="2:8" ht="30.75" customHeight="1">
      <c r="B133" s="29" t="s">
        <v>96</v>
      </c>
      <c r="C133" s="50"/>
      <c r="D133" s="51">
        <v>0</v>
      </c>
      <c r="E133" s="51">
        <v>0</v>
      </c>
      <c r="F133" s="55">
        <v>0</v>
      </c>
      <c r="G133" s="30" t="s">
        <v>17</v>
      </c>
    </row>
    <row r="134" spans="2:8" ht="30" customHeight="1">
      <c r="B134" s="26" t="s">
        <v>70</v>
      </c>
      <c r="C134" s="39"/>
      <c r="D134" s="37">
        <f>SUM(D133)</f>
        <v>0</v>
      </c>
      <c r="E134" s="37">
        <f>SUM(E133)</f>
        <v>0</v>
      </c>
      <c r="F134" s="60">
        <f>SUM(F133)</f>
        <v>0</v>
      </c>
      <c r="G134" s="22"/>
    </row>
    <row r="135" spans="2:8" ht="17.25" customHeight="1">
      <c r="B135" s="38"/>
      <c r="C135" s="38"/>
      <c r="D135" s="38"/>
      <c r="E135" s="38"/>
      <c r="F135" s="38"/>
      <c r="G135" s="38"/>
    </row>
    <row r="136" spans="2:8" s="36" customFormat="1" ht="28.8">
      <c r="B136" s="26" t="s">
        <v>97</v>
      </c>
      <c r="C136" s="39"/>
      <c r="D136" s="27">
        <f>D110+D115+D119+D125+D129+D132+D134</f>
        <v>141288.48000000001</v>
      </c>
      <c r="E136" s="27">
        <f>E110+E115+E119+E125+E129+E132+E134</f>
        <v>102498.37999999999</v>
      </c>
      <c r="F136" s="63">
        <f>F110+F115+F119+F125+F129+F132+F134</f>
        <v>539</v>
      </c>
      <c r="G136" s="22"/>
    </row>
    <row r="137" spans="2:8">
      <c r="B137" s="40"/>
      <c r="C137" s="40"/>
      <c r="D137" s="41"/>
      <c r="E137" s="41"/>
      <c r="F137" s="42"/>
    </row>
    <row r="138" spans="2:8">
      <c r="B138" s="40"/>
      <c r="C138" s="40"/>
      <c r="D138" s="41"/>
      <c r="E138" s="41"/>
      <c r="F138" s="42"/>
    </row>
    <row r="139" spans="2:8">
      <c r="B139" s="43" t="s">
        <v>548</v>
      </c>
      <c r="D139" s="13"/>
      <c r="E139" s="13"/>
    </row>
    <row r="140" spans="2:8">
      <c r="B140" s="44"/>
      <c r="D140" s="13"/>
      <c r="E140" s="13"/>
    </row>
    <row r="141" spans="2:8">
      <c r="B141" s="64" t="s">
        <v>101</v>
      </c>
      <c r="C141" s="64"/>
      <c r="D141" s="64"/>
      <c r="E141"/>
      <c r="F141"/>
      <c r="G141"/>
      <c r="H141"/>
    </row>
    <row r="142" spans="2:8">
      <c r="B142" t="s">
        <v>102</v>
      </c>
      <c r="C142"/>
      <c r="D142"/>
      <c r="E142"/>
      <c r="F142"/>
      <c r="G142"/>
      <c r="H142"/>
    </row>
    <row r="143" spans="2:8">
      <c r="B143" t="s">
        <v>98</v>
      </c>
      <c r="C143"/>
      <c r="D143"/>
      <c r="E143"/>
      <c r="F143"/>
      <c r="G143"/>
      <c r="H143"/>
    </row>
    <row r="144" spans="2:8">
      <c r="B144" s="354" t="s">
        <v>99</v>
      </c>
      <c r="C144" s="354"/>
      <c r="D144" s="354"/>
      <c r="E144" s="354"/>
      <c r="F144" s="354"/>
      <c r="G144" s="354"/>
      <c r="H144" s="354"/>
    </row>
    <row r="145" spans="2:8">
      <c r="B145" s="8"/>
      <c r="C145" s="65"/>
      <c r="D145" s="65"/>
      <c r="E145" s="66"/>
      <c r="F145" s="66"/>
      <c r="G145" s="65"/>
      <c r="H145" s="65"/>
    </row>
    <row r="146" spans="2:8">
      <c r="B146" s="8" t="s">
        <v>100</v>
      </c>
      <c r="C146" s="67"/>
      <c r="D146" s="67"/>
      <c r="E146" s="66"/>
      <c r="F146" s="66"/>
      <c r="G146" s="66"/>
      <c r="H146" s="67"/>
    </row>
    <row r="147" spans="2:8">
      <c r="B147"/>
      <c r="C147"/>
      <c r="D147"/>
      <c r="E147"/>
      <c r="F147"/>
      <c r="G147"/>
      <c r="H147"/>
    </row>
    <row r="148" spans="2:8" ht="15.75" customHeight="1"/>
  </sheetData>
  <mergeCells count="37">
    <mergeCell ref="B126:B128"/>
    <mergeCell ref="B130:B131"/>
    <mergeCell ref="B144:H144"/>
    <mergeCell ref="C92:C93"/>
    <mergeCell ref="C97:C98"/>
    <mergeCell ref="C99:C100"/>
    <mergeCell ref="C106:C107"/>
    <mergeCell ref="B111:B114"/>
    <mergeCell ref="B120:B124"/>
    <mergeCell ref="C90:C91"/>
    <mergeCell ref="C54:C55"/>
    <mergeCell ref="C61:C62"/>
    <mergeCell ref="C63:C64"/>
    <mergeCell ref="C66:C67"/>
    <mergeCell ref="C68:C70"/>
    <mergeCell ref="C71:C72"/>
    <mergeCell ref="C77:C78"/>
    <mergeCell ref="C79:C80"/>
    <mergeCell ref="C81:C82"/>
    <mergeCell ref="C84:C85"/>
    <mergeCell ref="C86:C87"/>
    <mergeCell ref="C51:C52"/>
    <mergeCell ref="B4:G4"/>
    <mergeCell ref="B5:G5"/>
    <mergeCell ref="B6:G6"/>
    <mergeCell ref="B8:B109"/>
    <mergeCell ref="C15:C16"/>
    <mergeCell ref="C17:C18"/>
    <mergeCell ref="C19:C20"/>
    <mergeCell ref="C21:C22"/>
    <mergeCell ref="C25:C28"/>
    <mergeCell ref="C33:C34"/>
    <mergeCell ref="C35:C37"/>
    <mergeCell ref="C38:C41"/>
    <mergeCell ref="C42:C44"/>
    <mergeCell ref="C45:C46"/>
    <mergeCell ref="C47:C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E532-DA3D-4B62-A34B-D8477B631E00}">
  <dimension ref="A1:J82"/>
  <sheetViews>
    <sheetView topLeftCell="A61" workbookViewId="0">
      <selection activeCell="E82" sqref="E82"/>
    </sheetView>
  </sheetViews>
  <sheetFormatPr defaultColWidth="9.21875" defaultRowHeight="14.4"/>
  <cols>
    <col min="1" max="1" width="3.44140625" customWidth="1"/>
    <col min="2" max="2" width="45.21875" customWidth="1"/>
    <col min="3" max="3" width="31.21875" style="66" customWidth="1"/>
    <col min="4" max="4" width="16.77734375" style="66" customWidth="1"/>
    <col min="5" max="5" width="24.77734375" style="8" customWidth="1"/>
    <col min="6" max="6" width="15.21875" style="66" customWidth="1"/>
    <col min="7" max="7" width="45.21875" customWidth="1"/>
    <col min="8" max="8" width="11.5546875" bestFit="1" customWidth="1"/>
    <col min="9" max="9" width="12.77734375" customWidth="1"/>
  </cols>
  <sheetData>
    <row r="1" spans="2:9" ht="30" customHeight="1">
      <c r="B1" s="68" t="s">
        <v>4</v>
      </c>
    </row>
    <row r="2" spans="2:9" ht="25.5" customHeight="1">
      <c r="B2" s="69" t="s">
        <v>103</v>
      </c>
      <c r="D2" s="70"/>
      <c r="E2" s="70"/>
    </row>
    <row r="3" spans="2:9" ht="12.75" customHeight="1">
      <c r="B3" s="68"/>
      <c r="D3" s="70"/>
      <c r="E3" s="70"/>
    </row>
    <row r="4" spans="2:9" ht="32.25" customHeight="1">
      <c r="B4" s="274" t="s">
        <v>104</v>
      </c>
      <c r="C4" s="274"/>
      <c r="D4" s="274"/>
      <c r="E4" s="274"/>
      <c r="F4" s="274"/>
      <c r="G4" s="274"/>
    </row>
    <row r="5" spans="2:9" ht="31.5" customHeight="1">
      <c r="B5" s="274" t="s">
        <v>105</v>
      </c>
      <c r="C5" s="274"/>
      <c r="D5" s="274"/>
      <c r="E5" s="274"/>
      <c r="F5" s="274"/>
      <c r="G5" s="274"/>
    </row>
    <row r="6" spans="2:9" ht="26.25" customHeight="1">
      <c r="B6" s="275" t="s">
        <v>8</v>
      </c>
      <c r="C6" s="275"/>
      <c r="D6" s="275"/>
      <c r="E6" s="275"/>
      <c r="F6" s="275"/>
      <c r="G6" s="275"/>
    </row>
    <row r="7" spans="2:9" ht="63.75" customHeight="1">
      <c r="B7" s="71" t="s">
        <v>9</v>
      </c>
      <c r="C7" s="72" t="s">
        <v>10</v>
      </c>
      <c r="D7" s="72" t="s">
        <v>11</v>
      </c>
      <c r="E7" s="72" t="s">
        <v>12</v>
      </c>
      <c r="F7" s="72" t="s">
        <v>2</v>
      </c>
      <c r="G7" s="72" t="s">
        <v>13</v>
      </c>
    </row>
    <row r="8" spans="2:9" ht="36.75" customHeight="1">
      <c r="B8" s="319" t="s">
        <v>14</v>
      </c>
      <c r="C8" s="73" t="s">
        <v>106</v>
      </c>
      <c r="D8" s="101">
        <v>310.87</v>
      </c>
      <c r="E8" s="104">
        <v>3.15</v>
      </c>
      <c r="F8" s="108">
        <v>2</v>
      </c>
      <c r="G8" s="74"/>
    </row>
    <row r="9" spans="2:9" ht="36.75" customHeight="1">
      <c r="B9" s="319"/>
      <c r="C9" s="73" t="s">
        <v>107</v>
      </c>
      <c r="D9" s="101">
        <v>771.12</v>
      </c>
      <c r="E9" s="104">
        <v>3.15</v>
      </c>
      <c r="F9" s="108">
        <v>2</v>
      </c>
      <c r="G9" s="75"/>
      <c r="H9" s="76"/>
    </row>
    <row r="10" spans="2:9" ht="36.75" customHeight="1">
      <c r="B10" s="319"/>
      <c r="C10" s="73" t="s">
        <v>108</v>
      </c>
      <c r="D10" s="101">
        <v>415.01</v>
      </c>
      <c r="E10" s="104">
        <v>3.15</v>
      </c>
      <c r="F10" s="108">
        <v>1</v>
      </c>
      <c r="G10" s="75"/>
      <c r="H10" s="76"/>
    </row>
    <row r="11" spans="2:9" ht="36.75" customHeight="1">
      <c r="B11" s="319"/>
      <c r="C11" s="73" t="s">
        <v>109</v>
      </c>
      <c r="D11" s="101">
        <v>44.1</v>
      </c>
      <c r="E11" s="104">
        <v>2.25</v>
      </c>
      <c r="F11" s="108">
        <v>1</v>
      </c>
      <c r="G11" s="75"/>
      <c r="H11" s="76"/>
    </row>
    <row r="12" spans="2:9" ht="36.75" customHeight="1">
      <c r="B12" s="319"/>
      <c r="C12" s="73" t="s">
        <v>110</v>
      </c>
      <c r="D12" s="101">
        <v>805.08</v>
      </c>
      <c r="E12" s="104">
        <v>2.25</v>
      </c>
      <c r="F12" s="108">
        <v>5</v>
      </c>
      <c r="G12" s="75"/>
      <c r="I12" s="76"/>
    </row>
    <row r="13" spans="2:9" ht="36.75" customHeight="1">
      <c r="B13" s="319"/>
      <c r="C13" s="73" t="s">
        <v>111</v>
      </c>
      <c r="D13" s="101">
        <v>556.15</v>
      </c>
      <c r="E13" s="104">
        <v>3.15</v>
      </c>
      <c r="F13" s="108">
        <v>11</v>
      </c>
      <c r="G13" s="75"/>
      <c r="H13" s="76"/>
    </row>
    <row r="14" spans="2:9" ht="36.75" customHeight="1">
      <c r="B14" s="319"/>
      <c r="C14" s="73" t="s">
        <v>112</v>
      </c>
      <c r="D14" s="101">
        <v>2155.48</v>
      </c>
      <c r="E14" s="105">
        <v>2.25</v>
      </c>
      <c r="F14" s="108">
        <v>6</v>
      </c>
      <c r="G14" s="75"/>
      <c r="H14" s="76"/>
    </row>
    <row r="15" spans="2:9" ht="36.75" customHeight="1">
      <c r="B15" s="319"/>
      <c r="C15" s="73" t="s">
        <v>113</v>
      </c>
      <c r="D15" s="101">
        <v>2026.4</v>
      </c>
      <c r="E15" s="104">
        <v>2.5499999999999998</v>
      </c>
      <c r="F15" s="108">
        <v>8</v>
      </c>
      <c r="G15" s="75"/>
    </row>
    <row r="16" spans="2:9" ht="36.75" customHeight="1">
      <c r="B16" s="319"/>
      <c r="C16" s="73" t="s">
        <v>114</v>
      </c>
      <c r="D16" s="101">
        <v>1006.18</v>
      </c>
      <c r="E16" s="104">
        <v>2.25</v>
      </c>
      <c r="F16" s="108">
        <v>6</v>
      </c>
      <c r="G16" s="77"/>
    </row>
    <row r="17" spans="2:9" ht="36.75" customHeight="1">
      <c r="B17" s="319"/>
      <c r="C17" s="73" t="s">
        <v>115</v>
      </c>
      <c r="D17" s="101">
        <v>80.64</v>
      </c>
      <c r="E17" s="104">
        <v>2.25</v>
      </c>
      <c r="F17" s="108">
        <v>1</v>
      </c>
      <c r="G17" s="74"/>
    </row>
    <row r="18" spans="2:9" ht="36.75" customHeight="1">
      <c r="B18" s="319"/>
      <c r="C18" s="73" t="s">
        <v>116</v>
      </c>
      <c r="D18" s="101">
        <v>808.31</v>
      </c>
      <c r="E18" s="104">
        <v>3.15</v>
      </c>
      <c r="F18" s="108">
        <v>8</v>
      </c>
      <c r="G18" s="75"/>
      <c r="H18" s="76"/>
    </row>
    <row r="19" spans="2:9" ht="36.75" customHeight="1">
      <c r="B19" s="319"/>
      <c r="C19" s="73" t="s">
        <v>117</v>
      </c>
      <c r="D19" s="101">
        <v>4387.5</v>
      </c>
      <c r="E19" s="104">
        <v>2.25</v>
      </c>
      <c r="F19" s="108">
        <v>1</v>
      </c>
      <c r="G19" s="75"/>
      <c r="H19" s="76"/>
    </row>
    <row r="20" spans="2:9" ht="36.75" customHeight="1">
      <c r="B20" s="319"/>
      <c r="C20" s="73" t="s">
        <v>118</v>
      </c>
      <c r="D20" s="101">
        <v>4082.63</v>
      </c>
      <c r="E20" s="104">
        <v>2.25</v>
      </c>
      <c r="F20" s="108">
        <v>6</v>
      </c>
      <c r="G20" s="75"/>
    </row>
    <row r="21" spans="2:9" ht="36.75" customHeight="1">
      <c r="B21" s="319"/>
      <c r="C21" s="73" t="s">
        <v>119</v>
      </c>
      <c r="D21" s="101">
        <v>104.63</v>
      </c>
      <c r="E21" s="104">
        <v>2.25</v>
      </c>
      <c r="F21" s="108">
        <v>1</v>
      </c>
      <c r="G21" s="74"/>
      <c r="I21" s="78"/>
    </row>
    <row r="22" spans="2:9" ht="36.75" customHeight="1">
      <c r="B22" s="319"/>
      <c r="C22" s="73" t="s">
        <v>120</v>
      </c>
      <c r="D22" s="101">
        <v>4470.6899999999996</v>
      </c>
      <c r="E22" s="104">
        <v>3.15</v>
      </c>
      <c r="F22" s="108">
        <v>3</v>
      </c>
      <c r="G22" s="74"/>
    </row>
    <row r="23" spans="2:9" ht="36.75" customHeight="1">
      <c r="B23" s="319"/>
      <c r="C23" s="73" t="s">
        <v>121</v>
      </c>
      <c r="D23" s="101">
        <v>1601.22</v>
      </c>
      <c r="E23" s="104">
        <v>3.15</v>
      </c>
      <c r="F23" s="108">
        <v>12</v>
      </c>
      <c r="G23" s="75"/>
      <c r="H23" s="76"/>
    </row>
    <row r="24" spans="2:9" ht="36.75" customHeight="1">
      <c r="B24" s="319"/>
      <c r="C24" s="73" t="s">
        <v>122</v>
      </c>
      <c r="D24" s="101">
        <v>438.96</v>
      </c>
      <c r="E24" s="104">
        <v>2.25</v>
      </c>
      <c r="F24" s="108">
        <v>3</v>
      </c>
      <c r="G24" s="75"/>
      <c r="H24" s="76"/>
    </row>
    <row r="25" spans="2:9" ht="36.75" customHeight="1">
      <c r="B25" s="319"/>
      <c r="C25" s="73" t="s">
        <v>122</v>
      </c>
      <c r="D25" s="101">
        <v>0</v>
      </c>
      <c r="E25" s="104">
        <v>2.25</v>
      </c>
      <c r="F25" s="108">
        <v>0</v>
      </c>
      <c r="G25" s="30" t="s">
        <v>17</v>
      </c>
    </row>
    <row r="26" spans="2:9" ht="36.75" customHeight="1">
      <c r="B26" s="319"/>
      <c r="C26" s="73" t="s">
        <v>123</v>
      </c>
      <c r="D26" s="101">
        <v>34.020000000000003</v>
      </c>
      <c r="E26" s="104">
        <v>2.25</v>
      </c>
      <c r="F26" s="108">
        <v>1</v>
      </c>
      <c r="G26" s="75"/>
    </row>
    <row r="27" spans="2:9" ht="36.75" customHeight="1">
      <c r="B27" s="319"/>
      <c r="C27" s="73" t="s">
        <v>124</v>
      </c>
      <c r="D27" s="101">
        <v>0</v>
      </c>
      <c r="E27" s="104">
        <v>2.25</v>
      </c>
      <c r="F27" s="108">
        <v>0</v>
      </c>
      <c r="G27" s="30" t="s">
        <v>17</v>
      </c>
    </row>
    <row r="28" spans="2:9" ht="36.75" customHeight="1">
      <c r="B28" s="319"/>
      <c r="C28" s="73" t="s">
        <v>125</v>
      </c>
      <c r="D28" s="101">
        <v>0</v>
      </c>
      <c r="E28" s="104">
        <v>3.15</v>
      </c>
      <c r="F28" s="108">
        <v>0</v>
      </c>
      <c r="G28" s="30" t="s">
        <v>17</v>
      </c>
    </row>
    <row r="29" spans="2:9" ht="36.75" customHeight="1">
      <c r="B29" s="319"/>
      <c r="C29" s="73" t="s">
        <v>126</v>
      </c>
      <c r="D29" s="101">
        <v>0</v>
      </c>
      <c r="E29" s="104">
        <v>2.25</v>
      </c>
      <c r="F29" s="108">
        <v>0</v>
      </c>
      <c r="G29" s="30" t="s">
        <v>17</v>
      </c>
    </row>
    <row r="30" spans="2:9" ht="36.75" customHeight="1">
      <c r="B30" s="319"/>
      <c r="C30" s="73" t="s">
        <v>127</v>
      </c>
      <c r="D30" s="101">
        <v>0</v>
      </c>
      <c r="E30" s="104">
        <v>3.15</v>
      </c>
      <c r="F30" s="108">
        <v>2</v>
      </c>
      <c r="G30" s="75"/>
    </row>
    <row r="31" spans="2:9" ht="36.75" customHeight="1">
      <c r="B31" s="319"/>
      <c r="C31" s="73" t="s">
        <v>128</v>
      </c>
      <c r="D31" s="101">
        <v>230.26</v>
      </c>
      <c r="E31" s="104">
        <v>3.15</v>
      </c>
      <c r="F31" s="108">
        <v>2</v>
      </c>
      <c r="G31" s="75"/>
      <c r="H31" s="76"/>
      <c r="I31" s="79"/>
    </row>
    <row r="32" spans="2:9" ht="36.75" customHeight="1">
      <c r="B32" s="319"/>
      <c r="C32" s="73" t="s">
        <v>129</v>
      </c>
      <c r="D32" s="101">
        <v>5371.57</v>
      </c>
      <c r="E32" s="104">
        <v>4.5</v>
      </c>
      <c r="F32" s="108">
        <v>10</v>
      </c>
      <c r="G32" s="75"/>
      <c r="H32" s="76"/>
      <c r="I32" s="79"/>
    </row>
    <row r="33" spans="2:9" ht="36.75" customHeight="1">
      <c r="B33" s="319"/>
      <c r="C33" s="73" t="s">
        <v>130</v>
      </c>
      <c r="D33" s="101">
        <v>402.39</v>
      </c>
      <c r="E33" s="104">
        <v>3.15</v>
      </c>
      <c r="F33" s="108">
        <v>2</v>
      </c>
      <c r="G33" s="75"/>
      <c r="H33" s="76"/>
    </row>
    <row r="34" spans="2:9" ht="36.75" customHeight="1">
      <c r="B34" s="319"/>
      <c r="C34" s="73" t="s">
        <v>131</v>
      </c>
      <c r="D34" s="101">
        <v>169.28</v>
      </c>
      <c r="E34" s="104">
        <v>2.25</v>
      </c>
      <c r="F34" s="108">
        <v>2</v>
      </c>
      <c r="G34" s="75"/>
      <c r="H34" s="76"/>
    </row>
    <row r="35" spans="2:9" ht="36.75" customHeight="1">
      <c r="B35" s="319"/>
      <c r="C35" s="73" t="s">
        <v>132</v>
      </c>
      <c r="D35" s="101">
        <v>1246.8499999999999</v>
      </c>
      <c r="E35" s="104">
        <v>3.15</v>
      </c>
      <c r="F35" s="108">
        <v>10</v>
      </c>
      <c r="G35" s="77"/>
      <c r="H35" s="76"/>
    </row>
    <row r="36" spans="2:9" ht="36.75" customHeight="1">
      <c r="B36" s="319"/>
      <c r="C36" s="73" t="s">
        <v>133</v>
      </c>
      <c r="D36" s="101">
        <v>0</v>
      </c>
      <c r="E36" s="104">
        <v>2.25</v>
      </c>
      <c r="F36" s="108">
        <v>0</v>
      </c>
      <c r="G36" s="30" t="s">
        <v>17</v>
      </c>
    </row>
    <row r="37" spans="2:9" ht="36.75" customHeight="1">
      <c r="B37" s="319"/>
      <c r="C37" s="73" t="s">
        <v>134</v>
      </c>
      <c r="D37" s="101">
        <v>0</v>
      </c>
      <c r="E37" s="104">
        <v>2.25</v>
      </c>
      <c r="F37" s="108">
        <v>0</v>
      </c>
      <c r="G37" s="30" t="s">
        <v>17</v>
      </c>
      <c r="I37" s="78"/>
    </row>
    <row r="38" spans="2:9" ht="36.75" customHeight="1">
      <c r="B38" s="319"/>
      <c r="C38" s="73" t="s">
        <v>135</v>
      </c>
      <c r="D38" s="101">
        <v>4553.76</v>
      </c>
      <c r="E38" s="104">
        <v>4.5</v>
      </c>
      <c r="F38" s="108">
        <v>6</v>
      </c>
      <c r="G38" s="77"/>
    </row>
    <row r="39" spans="2:9" ht="36.75" customHeight="1">
      <c r="B39" s="319"/>
      <c r="C39" s="73" t="s">
        <v>136</v>
      </c>
      <c r="D39" s="101">
        <v>1755.1</v>
      </c>
      <c r="E39" s="104">
        <v>4.5</v>
      </c>
      <c r="F39" s="108">
        <v>7</v>
      </c>
      <c r="G39" s="75"/>
      <c r="H39" s="76"/>
      <c r="I39" s="78"/>
    </row>
    <row r="40" spans="2:9" ht="36.75" customHeight="1">
      <c r="B40" s="319"/>
      <c r="C40" s="73" t="s">
        <v>137</v>
      </c>
      <c r="D40" s="101">
        <v>1260.8499999999999</v>
      </c>
      <c r="E40" s="104">
        <v>3.15</v>
      </c>
      <c r="F40" s="108">
        <v>3</v>
      </c>
      <c r="G40" s="75"/>
      <c r="H40" s="76"/>
    </row>
    <row r="41" spans="2:9" ht="36.75" customHeight="1">
      <c r="B41" s="319"/>
      <c r="C41" s="73" t="s">
        <v>138</v>
      </c>
      <c r="D41" s="101">
        <v>1627.61</v>
      </c>
      <c r="E41" s="104">
        <v>3.15</v>
      </c>
      <c r="F41" s="108">
        <v>9</v>
      </c>
      <c r="G41" s="80"/>
    </row>
    <row r="42" spans="2:9" ht="36.75" customHeight="1">
      <c r="B42" s="319"/>
      <c r="C42" s="73" t="s">
        <v>139</v>
      </c>
      <c r="D42" s="101">
        <v>999.04</v>
      </c>
      <c r="E42" s="104">
        <v>3.15</v>
      </c>
      <c r="F42" s="108">
        <v>7</v>
      </c>
      <c r="G42" s="75"/>
      <c r="H42" s="76"/>
    </row>
    <row r="43" spans="2:9" ht="36.75" customHeight="1">
      <c r="B43" s="319"/>
      <c r="C43" s="73" t="s">
        <v>140</v>
      </c>
      <c r="D43" s="101">
        <v>112.46</v>
      </c>
      <c r="E43" s="104">
        <v>3.15</v>
      </c>
      <c r="F43" s="108">
        <v>1</v>
      </c>
      <c r="G43" s="75"/>
      <c r="H43" s="76"/>
    </row>
    <row r="44" spans="2:9" ht="36.75" customHeight="1">
      <c r="B44" s="319"/>
      <c r="C44" s="73" t="s">
        <v>141</v>
      </c>
      <c r="D44" s="101">
        <v>303.35000000000002</v>
      </c>
      <c r="E44" s="104">
        <v>3.15</v>
      </c>
      <c r="F44" s="108">
        <v>2</v>
      </c>
      <c r="G44" s="75"/>
      <c r="H44" s="76"/>
    </row>
    <row r="45" spans="2:9" ht="36.75" customHeight="1">
      <c r="B45" s="319"/>
      <c r="C45" s="73" t="s">
        <v>142</v>
      </c>
      <c r="D45" s="101">
        <v>99.67</v>
      </c>
      <c r="E45" s="104">
        <v>2.25</v>
      </c>
      <c r="F45" s="108">
        <v>1</v>
      </c>
      <c r="G45" s="74"/>
    </row>
    <row r="46" spans="2:9" ht="36.75" customHeight="1">
      <c r="B46" s="81"/>
      <c r="C46" s="73" t="s">
        <v>143</v>
      </c>
      <c r="D46" s="101">
        <v>162.54</v>
      </c>
      <c r="E46" s="104">
        <v>3.15</v>
      </c>
      <c r="F46" s="108">
        <v>3</v>
      </c>
      <c r="G46" s="74"/>
    </row>
    <row r="47" spans="2:9" ht="45" customHeight="1">
      <c r="B47" s="81" t="s">
        <v>70</v>
      </c>
      <c r="C47" s="73"/>
      <c r="D47" s="102">
        <f>SUM(D8:D46)</f>
        <v>42393.719999999994</v>
      </c>
      <c r="E47" s="102">
        <f>SUM(E8:E46)</f>
        <v>111.00000000000003</v>
      </c>
      <c r="F47" s="109">
        <f>SUM(F8:F46)</f>
        <v>145</v>
      </c>
      <c r="G47" s="83"/>
    </row>
    <row r="48" spans="2:9" ht="42.75" customHeight="1">
      <c r="B48" s="300" t="s">
        <v>71</v>
      </c>
      <c r="C48" s="75" t="s">
        <v>144</v>
      </c>
      <c r="D48" s="103">
        <v>1101</v>
      </c>
      <c r="E48" s="104">
        <v>113</v>
      </c>
      <c r="F48" s="108">
        <v>7</v>
      </c>
      <c r="G48" s="82" t="s">
        <v>145</v>
      </c>
    </row>
    <row r="49" spans="1:10" ht="35.25" customHeight="1">
      <c r="B49" s="301"/>
      <c r="C49" s="75" t="s">
        <v>146</v>
      </c>
      <c r="D49" s="103">
        <v>0</v>
      </c>
      <c r="E49" s="104">
        <v>31.7</v>
      </c>
      <c r="F49" s="108">
        <v>1</v>
      </c>
      <c r="G49" s="82" t="s">
        <v>147</v>
      </c>
    </row>
    <row r="50" spans="1:10" ht="34.5" customHeight="1">
      <c r="B50" s="301"/>
      <c r="C50" s="75" t="s">
        <v>148</v>
      </c>
      <c r="D50" s="103">
        <v>0</v>
      </c>
      <c r="E50" s="104">
        <v>16.5</v>
      </c>
      <c r="F50" s="108">
        <v>0</v>
      </c>
      <c r="G50" s="30" t="s">
        <v>17</v>
      </c>
      <c r="H50" s="76"/>
    </row>
    <row r="51" spans="1:10" ht="42" customHeight="1">
      <c r="B51" s="301"/>
      <c r="C51" s="75" t="s">
        <v>150</v>
      </c>
      <c r="D51" s="103">
        <v>47.5</v>
      </c>
      <c r="E51" s="104">
        <v>47.5</v>
      </c>
      <c r="F51" s="108">
        <v>1</v>
      </c>
      <c r="G51" s="82" t="s">
        <v>151</v>
      </c>
      <c r="H51" s="84"/>
      <c r="I51" s="84"/>
      <c r="J51" s="84"/>
    </row>
    <row r="52" spans="1:10" ht="42" customHeight="1">
      <c r="B52" s="302"/>
      <c r="C52" s="75" t="s">
        <v>152</v>
      </c>
      <c r="D52" s="103">
        <v>86.37</v>
      </c>
      <c r="E52" s="104">
        <v>16.5</v>
      </c>
      <c r="F52" s="110">
        <v>6</v>
      </c>
      <c r="G52" s="82" t="s">
        <v>153</v>
      </c>
      <c r="H52" s="85"/>
      <c r="I52" s="84"/>
      <c r="J52" s="84"/>
    </row>
    <row r="53" spans="1:10" ht="42" customHeight="1">
      <c r="B53" s="86"/>
      <c r="C53" s="75" t="s">
        <v>154</v>
      </c>
      <c r="D53" s="103">
        <v>16.5</v>
      </c>
      <c r="E53" s="104">
        <v>16.5</v>
      </c>
      <c r="F53" s="108">
        <v>2</v>
      </c>
      <c r="G53" s="82" t="s">
        <v>149</v>
      </c>
      <c r="H53" s="84"/>
      <c r="I53" s="84"/>
      <c r="J53" s="84"/>
    </row>
    <row r="54" spans="1:10" ht="34.5" customHeight="1">
      <c r="B54" s="87" t="s">
        <v>70</v>
      </c>
      <c r="C54" s="72"/>
      <c r="D54" s="102">
        <f>SUM(D48:D53)</f>
        <v>1251.3699999999999</v>
      </c>
      <c r="E54" s="102">
        <f>SUM(E48:E53)</f>
        <v>241.7</v>
      </c>
      <c r="F54" s="109">
        <f>SUM(F48:F53)</f>
        <v>17</v>
      </c>
      <c r="G54" s="83"/>
      <c r="H54" s="84"/>
      <c r="I54" s="84"/>
      <c r="J54" s="84"/>
    </row>
    <row r="55" spans="1:10" ht="31.5" customHeight="1">
      <c r="B55" s="322" t="s">
        <v>77</v>
      </c>
      <c r="C55" s="322"/>
      <c r="D55" s="322"/>
      <c r="E55" s="322"/>
      <c r="F55" s="322"/>
      <c r="G55" s="323"/>
    </row>
    <row r="56" spans="1:10" ht="65.25" customHeight="1">
      <c r="A56" s="8"/>
      <c r="B56" s="72" t="s">
        <v>9</v>
      </c>
      <c r="C56" s="72" t="s">
        <v>78</v>
      </c>
      <c r="D56" s="72" t="s">
        <v>11</v>
      </c>
      <c r="E56" s="72" t="s">
        <v>79</v>
      </c>
      <c r="F56" s="72" t="s">
        <v>2</v>
      </c>
      <c r="G56" s="72" t="s">
        <v>80</v>
      </c>
    </row>
    <row r="57" spans="1:10" ht="33" customHeight="1">
      <c r="B57" s="358" t="s">
        <v>81</v>
      </c>
      <c r="C57" s="73" t="s">
        <v>155</v>
      </c>
      <c r="D57" s="103">
        <v>0</v>
      </c>
      <c r="E57" s="103">
        <v>0</v>
      </c>
      <c r="F57" s="88">
        <v>1</v>
      </c>
      <c r="G57" s="111" t="s">
        <v>164</v>
      </c>
    </row>
    <row r="58" spans="1:10" ht="33" customHeight="1">
      <c r="B58" s="359"/>
      <c r="C58" s="73" t="s">
        <v>156</v>
      </c>
      <c r="D58" s="103">
        <v>0</v>
      </c>
      <c r="E58" s="103">
        <v>0</v>
      </c>
      <c r="F58" s="88">
        <v>1</v>
      </c>
      <c r="G58" s="111" t="s">
        <v>164</v>
      </c>
    </row>
    <row r="59" spans="1:10" ht="33" customHeight="1">
      <c r="B59" s="360"/>
      <c r="C59" s="73" t="s">
        <v>157</v>
      </c>
      <c r="D59" s="103">
        <v>0</v>
      </c>
      <c r="E59" s="103">
        <v>0</v>
      </c>
      <c r="F59" s="88">
        <v>1</v>
      </c>
      <c r="G59" s="111" t="s">
        <v>164</v>
      </c>
    </row>
    <row r="60" spans="1:10" ht="21.75" customHeight="1">
      <c r="B60" s="89" t="s">
        <v>70</v>
      </c>
      <c r="C60" s="90"/>
      <c r="D60" s="102">
        <f>SUM(D57:D59)</f>
        <v>0</v>
      </c>
      <c r="E60" s="102">
        <f>SUM(E57:E59)</f>
        <v>0</v>
      </c>
      <c r="F60" s="91">
        <f>SUM(F57:F59)</f>
        <v>3</v>
      </c>
      <c r="G60" s="92"/>
    </row>
    <row r="61" spans="1:10" ht="27.75" customHeight="1">
      <c r="B61" s="312" t="s">
        <v>82</v>
      </c>
      <c r="C61" s="73" t="s">
        <v>158</v>
      </c>
      <c r="D61" s="103">
        <v>1292.94</v>
      </c>
      <c r="E61" s="103">
        <v>2603</v>
      </c>
      <c r="F61" s="88">
        <v>55</v>
      </c>
      <c r="G61" s="93"/>
      <c r="H61" s="76"/>
    </row>
    <row r="62" spans="1:10" ht="28.5" customHeight="1">
      <c r="B62" s="314"/>
      <c r="C62" s="73" t="s">
        <v>159</v>
      </c>
      <c r="D62" s="101">
        <v>799.04</v>
      </c>
      <c r="E62" s="103">
        <v>1188.72</v>
      </c>
      <c r="F62" s="88">
        <v>40</v>
      </c>
      <c r="G62" s="93"/>
      <c r="H62" s="76"/>
      <c r="I62" s="76"/>
    </row>
    <row r="63" spans="1:10" ht="29.25" customHeight="1">
      <c r="B63" s="89" t="s">
        <v>70</v>
      </c>
      <c r="C63" s="94"/>
      <c r="D63" s="102">
        <f>SUM(D61:D62)</f>
        <v>2091.98</v>
      </c>
      <c r="E63" s="102">
        <f>E61+E62</f>
        <v>3791.7200000000003</v>
      </c>
      <c r="F63" s="95">
        <f>F61+F62</f>
        <v>95</v>
      </c>
      <c r="G63" s="92"/>
    </row>
    <row r="64" spans="1:10" ht="24" customHeight="1">
      <c r="B64" s="100" t="s">
        <v>89</v>
      </c>
      <c r="C64" s="96"/>
      <c r="D64" s="106">
        <v>0</v>
      </c>
      <c r="E64" s="106">
        <v>0</v>
      </c>
      <c r="F64" s="88">
        <v>0</v>
      </c>
      <c r="G64" s="30" t="s">
        <v>17</v>
      </c>
    </row>
    <row r="65" spans="2:7" ht="27" customHeight="1">
      <c r="B65" s="89" t="s">
        <v>70</v>
      </c>
      <c r="C65" s="90"/>
      <c r="D65" s="37">
        <f>SUM(D64)</f>
        <v>0</v>
      </c>
      <c r="E65" s="37">
        <f>SUM(E64)</f>
        <v>0</v>
      </c>
      <c r="F65" s="60">
        <f>SUM(F64)</f>
        <v>0</v>
      </c>
      <c r="G65" s="92"/>
    </row>
    <row r="66" spans="2:7" ht="33" customHeight="1">
      <c r="B66" s="100" t="s">
        <v>93</v>
      </c>
      <c r="C66" s="96"/>
      <c r="D66" s="106">
        <v>0</v>
      </c>
      <c r="E66" s="106">
        <v>0</v>
      </c>
      <c r="F66" s="88">
        <v>0</v>
      </c>
      <c r="G66" s="30" t="s">
        <v>17</v>
      </c>
    </row>
    <row r="67" spans="2:7" ht="24.75" customHeight="1">
      <c r="B67" s="89" t="s">
        <v>70</v>
      </c>
      <c r="C67" s="90"/>
      <c r="D67" s="37">
        <f>SUM(D66)</f>
        <v>0</v>
      </c>
      <c r="E67" s="37">
        <f>SUM(E66)</f>
        <v>0</v>
      </c>
      <c r="F67" s="60">
        <f>SUM(F66)</f>
        <v>0</v>
      </c>
      <c r="G67" s="92"/>
    </row>
    <row r="68" spans="2:7" ht="30.75" customHeight="1">
      <c r="B68" s="100" t="s">
        <v>96</v>
      </c>
      <c r="C68" s="97"/>
      <c r="D68" s="106">
        <v>0</v>
      </c>
      <c r="E68" s="106">
        <v>0</v>
      </c>
      <c r="F68" s="88">
        <v>0</v>
      </c>
      <c r="G68" s="30" t="s">
        <v>17</v>
      </c>
    </row>
    <row r="69" spans="2:7" ht="15.6">
      <c r="B69" s="89" t="s">
        <v>70</v>
      </c>
      <c r="C69" s="90"/>
      <c r="D69" s="37">
        <f>SUM(D68)</f>
        <v>0</v>
      </c>
      <c r="E69" s="37">
        <f>SUM(E68)</f>
        <v>0</v>
      </c>
      <c r="F69" s="60">
        <f>SUM(F68)</f>
        <v>0</v>
      </c>
      <c r="G69" s="92"/>
    </row>
    <row r="70" spans="2:7" ht="17.25" customHeight="1">
      <c r="B70" s="321"/>
      <c r="C70" s="321"/>
      <c r="D70" s="321"/>
      <c r="E70" s="321"/>
      <c r="F70" s="321"/>
      <c r="G70" s="321"/>
    </row>
    <row r="71" spans="2:7" ht="33" customHeight="1">
      <c r="B71" s="87" t="s">
        <v>160</v>
      </c>
      <c r="C71" s="94"/>
      <c r="D71" s="273">
        <f>D47+D54+D60+D63+D65+D67+D69</f>
        <v>45737.07</v>
      </c>
      <c r="E71" s="107">
        <f>E47+E54+E60+E63+E65+E67+E69</f>
        <v>4144.42</v>
      </c>
      <c r="F71" s="112">
        <f>F47+F54+F60+F63+F65+F67+F69</f>
        <v>260</v>
      </c>
      <c r="G71" s="92"/>
    </row>
    <row r="72" spans="2:7">
      <c r="B72" s="79"/>
      <c r="C72" s="65"/>
      <c r="D72" s="65"/>
      <c r="E72" s="65"/>
      <c r="F72" s="65"/>
    </row>
    <row r="73" spans="2:7">
      <c r="B73" s="79"/>
      <c r="C73" s="65"/>
      <c r="D73" s="65"/>
      <c r="E73" s="65"/>
      <c r="F73" s="65"/>
    </row>
    <row r="74" spans="2:7">
      <c r="B74" s="98" t="s">
        <v>549</v>
      </c>
    </row>
    <row r="75" spans="2:7">
      <c r="B75" s="98"/>
    </row>
    <row r="76" spans="2:7">
      <c r="B76" s="99" t="s">
        <v>161</v>
      </c>
    </row>
    <row r="77" spans="2:7">
      <c r="B77" s="99" t="s">
        <v>162</v>
      </c>
    </row>
    <row r="78" spans="2:7">
      <c r="B78" s="99" t="s">
        <v>603</v>
      </c>
    </row>
    <row r="79" spans="2:7">
      <c r="B79" s="99" t="s">
        <v>235</v>
      </c>
    </row>
    <row r="80" spans="2:7">
      <c r="B80" s="311"/>
      <c r="C80" s="311"/>
      <c r="D80" s="311"/>
    </row>
    <row r="81" spans="2:2">
      <c r="B81" s="99" t="s">
        <v>163</v>
      </c>
    </row>
    <row r="82" spans="2:2" ht="15.75" customHeight="1"/>
  </sheetData>
  <mergeCells count="10">
    <mergeCell ref="B57:B59"/>
    <mergeCell ref="B61:B62"/>
    <mergeCell ref="B70:G70"/>
    <mergeCell ref="B80:D80"/>
    <mergeCell ref="B4:G4"/>
    <mergeCell ref="B5:G5"/>
    <mergeCell ref="B6:G6"/>
    <mergeCell ref="B8:B45"/>
    <mergeCell ref="B48:B52"/>
    <mergeCell ref="B55:G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9AF3-70BE-4917-920D-CEDF88882AB1}">
  <dimension ref="A1:J81"/>
  <sheetViews>
    <sheetView topLeftCell="A64" workbookViewId="0">
      <selection activeCell="E82" sqref="E82"/>
    </sheetView>
  </sheetViews>
  <sheetFormatPr defaultColWidth="9.109375" defaultRowHeight="14.4"/>
  <cols>
    <col min="1" max="1" width="3.44140625" customWidth="1"/>
    <col min="2" max="2" width="44.33203125" customWidth="1"/>
    <col min="3" max="3" width="59.109375" customWidth="1"/>
    <col min="4" max="4" width="18.109375" customWidth="1"/>
    <col min="5" max="5" width="15.6640625" customWidth="1"/>
    <col min="6" max="6" width="15.33203125" customWidth="1"/>
    <col min="7" max="7" width="64.77734375" customWidth="1"/>
    <col min="8" max="8" width="2.6640625" customWidth="1"/>
  </cols>
  <sheetData>
    <row r="1" spans="2:7" ht="30" customHeight="1">
      <c r="B1" s="254" t="s">
        <v>4</v>
      </c>
    </row>
    <row r="2" spans="2:7" ht="25.5" customHeight="1">
      <c r="B2" s="254" t="s">
        <v>5</v>
      </c>
      <c r="D2" s="143"/>
      <c r="E2" s="143"/>
    </row>
    <row r="3" spans="2:7" ht="13.2" customHeight="1">
      <c r="B3" s="254"/>
      <c r="D3" s="143"/>
      <c r="E3" s="143"/>
    </row>
    <row r="4" spans="2:7" ht="32.25" customHeight="1">
      <c r="B4" s="368" t="s">
        <v>297</v>
      </c>
      <c r="C4" s="368"/>
      <c r="D4" s="368"/>
      <c r="E4" s="368"/>
      <c r="F4" s="368"/>
      <c r="G4" s="368"/>
    </row>
    <row r="5" spans="2:7" ht="31.5" customHeight="1">
      <c r="B5" s="368" t="s">
        <v>550</v>
      </c>
      <c r="C5" s="368"/>
      <c r="D5" s="368"/>
      <c r="E5" s="368"/>
      <c r="F5" s="368"/>
      <c r="G5" s="368"/>
    </row>
    <row r="6" spans="2:7" ht="26.25" customHeight="1">
      <c r="B6" s="369" t="s">
        <v>8</v>
      </c>
      <c r="C6" s="369"/>
      <c r="D6" s="369"/>
      <c r="E6" s="369"/>
      <c r="F6" s="369"/>
      <c r="G6" s="369"/>
    </row>
    <row r="7" spans="2:7" ht="55.5" customHeight="1">
      <c r="B7" s="255" t="s">
        <v>9</v>
      </c>
      <c r="C7" s="256" t="s">
        <v>10</v>
      </c>
      <c r="D7" s="256" t="s">
        <v>11</v>
      </c>
      <c r="E7" s="256" t="s">
        <v>551</v>
      </c>
      <c r="F7" s="256" t="s">
        <v>2</v>
      </c>
      <c r="G7" s="257" t="s">
        <v>13</v>
      </c>
    </row>
    <row r="8" spans="2:7" ht="28.8">
      <c r="B8" s="300" t="s">
        <v>552</v>
      </c>
      <c r="C8" s="73" t="s">
        <v>553</v>
      </c>
      <c r="D8" s="365">
        <v>586.9</v>
      </c>
      <c r="E8" s="165">
        <v>1.8</v>
      </c>
      <c r="F8" s="290">
        <v>12</v>
      </c>
      <c r="G8" s="258"/>
    </row>
    <row r="9" spans="2:7" ht="28.8">
      <c r="B9" s="301"/>
      <c r="C9" s="73" t="s">
        <v>554</v>
      </c>
      <c r="D9" s="367"/>
      <c r="E9" s="165">
        <v>3</v>
      </c>
      <c r="F9" s="289"/>
      <c r="G9" s="258"/>
    </row>
    <row r="10" spans="2:7" ht="28.8">
      <c r="B10" s="301"/>
      <c r="C10" s="73" t="s">
        <v>555</v>
      </c>
      <c r="D10" s="365">
        <v>300.3</v>
      </c>
      <c r="E10" s="165">
        <v>3</v>
      </c>
      <c r="F10" s="290">
        <v>4</v>
      </c>
      <c r="G10" s="258"/>
    </row>
    <row r="11" spans="2:7" ht="28.8">
      <c r="B11" s="301"/>
      <c r="C11" s="73" t="s">
        <v>556</v>
      </c>
      <c r="D11" s="367"/>
      <c r="E11" s="165">
        <v>3</v>
      </c>
      <c r="F11" s="289"/>
      <c r="G11" s="258"/>
    </row>
    <row r="12" spans="2:7" ht="28.8">
      <c r="B12" s="301"/>
      <c r="C12" s="73" t="s">
        <v>557</v>
      </c>
      <c r="D12" s="365">
        <v>2179.5</v>
      </c>
      <c r="E12" s="165">
        <v>3</v>
      </c>
      <c r="F12" s="290">
        <v>16</v>
      </c>
      <c r="G12" s="258"/>
    </row>
    <row r="13" spans="2:7" ht="28.8">
      <c r="B13" s="301"/>
      <c r="C13" s="73" t="s">
        <v>558</v>
      </c>
      <c r="D13" s="366"/>
      <c r="E13" s="165">
        <v>3</v>
      </c>
      <c r="F13" s="288"/>
      <c r="G13" s="258"/>
    </row>
    <row r="14" spans="2:7" ht="28.8">
      <c r="B14" s="301"/>
      <c r="C14" s="73" t="s">
        <v>559</v>
      </c>
      <c r="D14" s="367"/>
      <c r="E14" s="165">
        <v>3</v>
      </c>
      <c r="F14" s="289"/>
      <c r="G14" s="258"/>
    </row>
    <row r="15" spans="2:7" ht="28.8">
      <c r="B15" s="301"/>
      <c r="C15" s="73" t="s">
        <v>560</v>
      </c>
      <c r="D15" s="365">
        <v>2612.27</v>
      </c>
      <c r="E15" s="165">
        <v>3</v>
      </c>
      <c r="F15" s="290">
        <v>13</v>
      </c>
      <c r="G15" s="258"/>
    </row>
    <row r="16" spans="2:7" ht="28.8">
      <c r="B16" s="301"/>
      <c r="C16" s="73" t="s">
        <v>561</v>
      </c>
      <c r="D16" s="366"/>
      <c r="E16" s="165">
        <v>1.8</v>
      </c>
      <c r="F16" s="288"/>
      <c r="G16" s="258"/>
    </row>
    <row r="17" spans="2:7" ht="28.8">
      <c r="B17" s="301"/>
      <c r="C17" s="73" t="s">
        <v>562</v>
      </c>
      <c r="D17" s="366"/>
      <c r="E17" s="165">
        <v>3</v>
      </c>
      <c r="F17" s="288"/>
      <c r="G17" s="258"/>
    </row>
    <row r="18" spans="2:7" ht="28.8">
      <c r="B18" s="301"/>
      <c r="C18" s="73" t="s">
        <v>563</v>
      </c>
      <c r="D18" s="367"/>
      <c r="E18" s="165">
        <v>3</v>
      </c>
      <c r="F18" s="289"/>
      <c r="G18" s="258"/>
    </row>
    <row r="19" spans="2:7" ht="28.8">
      <c r="B19" s="301"/>
      <c r="C19" s="73" t="s">
        <v>564</v>
      </c>
      <c r="D19" s="365">
        <v>2168.5300000000002</v>
      </c>
      <c r="E19" s="165">
        <v>1.8</v>
      </c>
      <c r="F19" s="290">
        <v>8</v>
      </c>
      <c r="G19" s="258"/>
    </row>
    <row r="20" spans="2:7" ht="28.8">
      <c r="B20" s="301"/>
      <c r="C20" s="73" t="s">
        <v>565</v>
      </c>
      <c r="D20" s="366"/>
      <c r="E20" s="165">
        <v>1.8</v>
      </c>
      <c r="F20" s="288"/>
      <c r="G20" s="258"/>
    </row>
    <row r="21" spans="2:7" ht="28.8">
      <c r="B21" s="301"/>
      <c r="C21" s="73" t="s">
        <v>566</v>
      </c>
      <c r="D21" s="367"/>
      <c r="E21" s="165">
        <v>3</v>
      </c>
      <c r="F21" s="289"/>
      <c r="G21" s="258"/>
    </row>
    <row r="22" spans="2:7" ht="28.8">
      <c r="B22" s="301"/>
      <c r="C22" s="73" t="s">
        <v>567</v>
      </c>
      <c r="D22" s="365">
        <v>846.6</v>
      </c>
      <c r="E22" s="165">
        <v>3</v>
      </c>
      <c r="F22" s="290">
        <v>4</v>
      </c>
      <c r="G22" s="258"/>
    </row>
    <row r="23" spans="2:7" ht="28.8">
      <c r="B23" s="301"/>
      <c r="C23" s="73" t="s">
        <v>568</v>
      </c>
      <c r="D23" s="367"/>
      <c r="E23" s="165">
        <v>1.8</v>
      </c>
      <c r="F23" s="289"/>
      <c r="G23" s="258"/>
    </row>
    <row r="24" spans="2:7" ht="28.8">
      <c r="B24" s="301"/>
      <c r="C24" s="73" t="s">
        <v>569</v>
      </c>
      <c r="D24" s="365">
        <v>5929.7</v>
      </c>
      <c r="E24" s="165">
        <v>4.5</v>
      </c>
      <c r="F24" s="290">
        <v>23</v>
      </c>
      <c r="G24" s="258"/>
    </row>
    <row r="25" spans="2:7" ht="28.8">
      <c r="B25" s="301"/>
      <c r="C25" s="73" t="s">
        <v>570</v>
      </c>
      <c r="D25" s="366"/>
      <c r="E25" s="165">
        <v>4.5</v>
      </c>
      <c r="F25" s="288"/>
      <c r="G25" s="258"/>
    </row>
    <row r="26" spans="2:7" ht="28.8">
      <c r="B26" s="301"/>
      <c r="C26" s="73" t="s">
        <v>571</v>
      </c>
      <c r="D26" s="366"/>
      <c r="E26" s="165">
        <v>3</v>
      </c>
      <c r="F26" s="288"/>
      <c r="G26" s="258"/>
    </row>
    <row r="27" spans="2:7" ht="28.8">
      <c r="B27" s="301"/>
      <c r="C27" s="73" t="s">
        <v>572</v>
      </c>
      <c r="D27" s="367"/>
      <c r="E27" s="165">
        <v>3</v>
      </c>
      <c r="F27" s="289"/>
      <c r="G27" s="258"/>
    </row>
    <row r="28" spans="2:7" ht="28.8">
      <c r="B28" s="301"/>
      <c r="C28" s="73" t="s">
        <v>573</v>
      </c>
      <c r="D28" s="365">
        <v>4943.3999999999996</v>
      </c>
      <c r="E28" s="165">
        <v>3</v>
      </c>
      <c r="F28" s="290">
        <v>10</v>
      </c>
      <c r="G28" s="258"/>
    </row>
    <row r="29" spans="2:7" ht="28.8">
      <c r="B29" s="301"/>
      <c r="C29" s="73" t="s">
        <v>574</v>
      </c>
      <c r="D29" s="367"/>
      <c r="E29" s="165">
        <v>4.5</v>
      </c>
      <c r="F29" s="289"/>
      <c r="G29" s="258"/>
    </row>
    <row r="30" spans="2:7" ht="28.8">
      <c r="B30" s="301"/>
      <c r="C30" s="73" t="s">
        <v>575</v>
      </c>
      <c r="D30" s="365">
        <v>3654.25</v>
      </c>
      <c r="E30" s="165">
        <v>3</v>
      </c>
      <c r="F30" s="290">
        <v>13</v>
      </c>
      <c r="G30" s="258"/>
    </row>
    <row r="31" spans="2:7" ht="28.8">
      <c r="B31" s="301"/>
      <c r="C31" s="73" t="s">
        <v>576</v>
      </c>
      <c r="D31" s="366"/>
      <c r="E31" s="165">
        <v>3</v>
      </c>
      <c r="F31" s="288"/>
      <c r="G31" s="258"/>
    </row>
    <row r="32" spans="2:7" ht="28.8">
      <c r="B32" s="301"/>
      <c r="C32" s="73" t="s">
        <v>577</v>
      </c>
      <c r="D32" s="366"/>
      <c r="E32" s="165">
        <v>3</v>
      </c>
      <c r="F32" s="288"/>
      <c r="G32" s="148"/>
    </row>
    <row r="33" spans="2:9" ht="43.2">
      <c r="B33" s="301"/>
      <c r="C33" s="73" t="s">
        <v>578</v>
      </c>
      <c r="D33" s="366"/>
      <c r="E33" s="165">
        <v>1.8</v>
      </c>
      <c r="F33" s="288"/>
      <c r="G33" s="148"/>
    </row>
    <row r="34" spans="2:9" ht="43.2">
      <c r="B34" s="302"/>
      <c r="C34" s="73" t="s">
        <v>578</v>
      </c>
      <c r="D34" s="367"/>
      <c r="E34" s="165">
        <v>1.8</v>
      </c>
      <c r="F34" s="289"/>
      <c r="G34" s="148"/>
    </row>
    <row r="35" spans="2:9" ht="25.5" customHeight="1">
      <c r="B35" s="259" t="s">
        <v>70</v>
      </c>
      <c r="C35" s="260"/>
      <c r="D35" s="268">
        <f>SUM(D8:D32)</f>
        <v>23221.449999999997</v>
      </c>
      <c r="E35" s="372"/>
      <c r="F35" s="370">
        <f>SUM(F8:F32)</f>
        <v>103</v>
      </c>
      <c r="G35" s="261"/>
      <c r="H35" s="150"/>
      <c r="I35" s="150"/>
    </row>
    <row r="36" spans="2:9" ht="28.8">
      <c r="B36" s="361" t="s">
        <v>579</v>
      </c>
      <c r="C36" s="122" t="s">
        <v>580</v>
      </c>
      <c r="D36" s="128">
        <v>0</v>
      </c>
      <c r="E36" s="269">
        <v>37</v>
      </c>
      <c r="F36" s="262">
        <v>1</v>
      </c>
      <c r="G36" s="148"/>
    </row>
    <row r="37" spans="2:9" ht="28.8">
      <c r="B37" s="361"/>
      <c r="C37" s="122" t="s">
        <v>580</v>
      </c>
      <c r="D37" s="128">
        <v>0</v>
      </c>
      <c r="E37" s="269">
        <v>0</v>
      </c>
      <c r="F37" s="262">
        <v>1</v>
      </c>
      <c r="G37" s="148"/>
    </row>
    <row r="38" spans="2:9" ht="28.8">
      <c r="B38" s="361"/>
      <c r="C38" s="122" t="s">
        <v>581</v>
      </c>
      <c r="D38" s="128">
        <v>2217</v>
      </c>
      <c r="E38" s="269">
        <v>37</v>
      </c>
      <c r="F38" s="262">
        <v>3</v>
      </c>
      <c r="G38" s="148"/>
    </row>
    <row r="39" spans="2:9" ht="28.8">
      <c r="B39" s="361"/>
      <c r="C39" s="122" t="s">
        <v>581</v>
      </c>
      <c r="D39" s="128">
        <v>0</v>
      </c>
      <c r="E39" s="269">
        <v>0</v>
      </c>
      <c r="F39" s="262">
        <v>0</v>
      </c>
      <c r="G39" s="148"/>
    </row>
    <row r="40" spans="2:9" ht="28.8">
      <c r="B40" s="361"/>
      <c r="C40" s="122" t="s">
        <v>582</v>
      </c>
      <c r="D40" s="128">
        <v>2109</v>
      </c>
      <c r="E40" s="269">
        <v>37</v>
      </c>
      <c r="F40" s="262">
        <v>5</v>
      </c>
      <c r="G40" s="148"/>
    </row>
    <row r="41" spans="2:9" ht="28.8">
      <c r="B41" s="361"/>
      <c r="C41" s="263" t="s">
        <v>582</v>
      </c>
      <c r="D41" s="128">
        <v>0</v>
      </c>
      <c r="E41" s="269">
        <v>0</v>
      </c>
      <c r="F41" s="262">
        <v>7</v>
      </c>
      <c r="G41" s="148"/>
    </row>
    <row r="42" spans="2:9" ht="28.8">
      <c r="B42" s="361"/>
      <c r="C42" s="122" t="s">
        <v>583</v>
      </c>
      <c r="D42" s="128">
        <v>2582</v>
      </c>
      <c r="E42" s="269">
        <v>37</v>
      </c>
      <c r="F42" s="262">
        <v>5</v>
      </c>
      <c r="G42" s="148"/>
    </row>
    <row r="43" spans="2:9" ht="28.8">
      <c r="B43" s="361"/>
      <c r="C43" s="122" t="s">
        <v>583</v>
      </c>
      <c r="D43" s="128">
        <v>0</v>
      </c>
      <c r="E43" s="269">
        <v>0</v>
      </c>
      <c r="F43" s="262">
        <v>0</v>
      </c>
      <c r="G43" s="148"/>
    </row>
    <row r="44" spans="2:9" ht="28.8">
      <c r="B44" s="361"/>
      <c r="C44" s="122" t="s">
        <v>584</v>
      </c>
      <c r="D44" s="269">
        <v>1417.4</v>
      </c>
      <c r="E44" s="269">
        <v>83</v>
      </c>
      <c r="F44" s="262">
        <v>4</v>
      </c>
      <c r="G44" s="148"/>
    </row>
    <row r="45" spans="2:9" ht="28.8">
      <c r="B45" s="361"/>
      <c r="C45" s="122" t="s">
        <v>584</v>
      </c>
      <c r="D45" s="269">
        <v>0</v>
      </c>
      <c r="E45" s="269">
        <v>0</v>
      </c>
      <c r="F45" s="262">
        <v>7</v>
      </c>
      <c r="G45" s="148"/>
    </row>
    <row r="46" spans="2:9" ht="28.8">
      <c r="B46" s="361"/>
      <c r="C46" s="122" t="s">
        <v>585</v>
      </c>
      <c r="D46" s="128">
        <v>496</v>
      </c>
      <c r="E46" s="269">
        <v>124</v>
      </c>
      <c r="F46" s="262">
        <v>1</v>
      </c>
      <c r="G46" s="148"/>
    </row>
    <row r="47" spans="2:9" ht="28.8">
      <c r="B47" s="361"/>
      <c r="C47" s="122" t="s">
        <v>585</v>
      </c>
      <c r="D47" s="128">
        <v>0</v>
      </c>
      <c r="E47" s="269">
        <v>0</v>
      </c>
      <c r="F47" s="262">
        <v>5</v>
      </c>
      <c r="G47" s="148"/>
    </row>
    <row r="48" spans="2:9" ht="28.8">
      <c r="B48" s="361"/>
      <c r="C48" s="122" t="s">
        <v>586</v>
      </c>
      <c r="D48" s="128">
        <v>518.5</v>
      </c>
      <c r="E48" s="269">
        <v>18.5</v>
      </c>
      <c r="F48" s="262">
        <v>1</v>
      </c>
      <c r="G48" s="92"/>
    </row>
    <row r="49" spans="1:10" ht="28.8">
      <c r="B49" s="361"/>
      <c r="C49" s="122" t="s">
        <v>586</v>
      </c>
      <c r="D49" s="128">
        <v>0</v>
      </c>
      <c r="E49" s="269">
        <v>0</v>
      </c>
      <c r="F49" s="262">
        <v>0</v>
      </c>
      <c r="G49" s="92"/>
    </row>
    <row r="50" spans="1:10" ht="28.8">
      <c r="B50" s="361"/>
      <c r="C50" s="122" t="s">
        <v>587</v>
      </c>
      <c r="D50" s="128">
        <v>0</v>
      </c>
      <c r="E50" s="269">
        <v>25</v>
      </c>
      <c r="F50" s="262">
        <v>0</v>
      </c>
      <c r="G50" s="148"/>
    </row>
    <row r="51" spans="1:10" ht="28.8">
      <c r="B51" s="361"/>
      <c r="C51" s="122" t="s">
        <v>587</v>
      </c>
      <c r="D51" s="128">
        <v>0</v>
      </c>
      <c r="E51" s="269">
        <v>0</v>
      </c>
      <c r="F51" s="262">
        <v>0</v>
      </c>
      <c r="G51" s="148"/>
    </row>
    <row r="52" spans="1:10" ht="28.8">
      <c r="B52" s="361"/>
      <c r="C52" s="122" t="s">
        <v>588</v>
      </c>
      <c r="D52" s="128">
        <v>992</v>
      </c>
      <c r="E52" s="269">
        <v>124</v>
      </c>
      <c r="F52" s="262">
        <v>17</v>
      </c>
      <c r="G52" s="148"/>
    </row>
    <row r="53" spans="1:10" ht="28.8">
      <c r="B53" s="361"/>
      <c r="C53" s="122" t="s">
        <v>588</v>
      </c>
      <c r="D53" s="128">
        <v>0</v>
      </c>
      <c r="E53" s="269">
        <v>0</v>
      </c>
      <c r="F53" s="262">
        <v>9</v>
      </c>
      <c r="G53" s="148"/>
    </row>
    <row r="54" spans="1:10" ht="25.5" customHeight="1">
      <c r="B54" s="259" t="s">
        <v>70</v>
      </c>
      <c r="C54" s="260"/>
      <c r="D54" s="268">
        <f>SUM(D36:D53)</f>
        <v>10331.9</v>
      </c>
      <c r="E54" s="372"/>
      <c r="F54" s="370">
        <f>SUM(F36:F53)</f>
        <v>66</v>
      </c>
      <c r="G54" s="261"/>
      <c r="H54" s="150"/>
      <c r="I54" s="150"/>
    </row>
    <row r="55" spans="1:10" ht="31.5" customHeight="1">
      <c r="B55" s="322" t="s">
        <v>77</v>
      </c>
      <c r="C55" s="322"/>
      <c r="D55" s="322"/>
      <c r="E55" s="322"/>
      <c r="F55" s="322"/>
      <c r="G55" s="323"/>
    </row>
    <row r="56" spans="1:10" ht="53.25" customHeight="1">
      <c r="A56" s="8"/>
      <c r="B56" s="256" t="s">
        <v>9</v>
      </c>
      <c r="C56" s="256" t="s">
        <v>78</v>
      </c>
      <c r="D56" s="256" t="s">
        <v>11</v>
      </c>
      <c r="E56" s="256" t="s">
        <v>589</v>
      </c>
      <c r="F56" s="256" t="s">
        <v>2</v>
      </c>
      <c r="G56" s="257" t="s">
        <v>80</v>
      </c>
    </row>
    <row r="57" spans="1:10" ht="33" customHeight="1">
      <c r="B57" s="100" t="s">
        <v>81</v>
      </c>
      <c r="C57" s="152"/>
      <c r="D57" s="51">
        <v>0</v>
      </c>
      <c r="E57" s="51">
        <v>0</v>
      </c>
      <c r="F57" s="55">
        <v>0</v>
      </c>
      <c r="G57" s="92"/>
    </row>
    <row r="58" spans="1:10" ht="24.75" customHeight="1">
      <c r="B58" s="264" t="s">
        <v>70</v>
      </c>
      <c r="C58" s="265"/>
      <c r="D58" s="373">
        <f>SUM(D57)</f>
        <v>0</v>
      </c>
      <c r="E58" s="373">
        <f>SUM(E57)</f>
        <v>0</v>
      </c>
      <c r="F58" s="62">
        <f>SUM(F57)</f>
        <v>0</v>
      </c>
      <c r="G58" s="92"/>
    </row>
    <row r="59" spans="1:10" ht="37.799999999999997" customHeight="1">
      <c r="B59" s="100" t="s">
        <v>82</v>
      </c>
      <c r="C59" s="266" t="s">
        <v>590</v>
      </c>
      <c r="D59" s="374">
        <v>531</v>
      </c>
      <c r="E59" s="51">
        <v>472</v>
      </c>
      <c r="F59" s="55">
        <v>9</v>
      </c>
      <c r="G59" s="100" t="s">
        <v>600</v>
      </c>
      <c r="J59" s="267"/>
    </row>
    <row r="60" spans="1:10" ht="36.75" customHeight="1">
      <c r="B60" s="100"/>
      <c r="C60" s="266" t="s">
        <v>591</v>
      </c>
      <c r="D60" s="51">
        <v>1742</v>
      </c>
      <c r="E60" s="51">
        <v>1608</v>
      </c>
      <c r="F60" s="55">
        <v>24</v>
      </c>
      <c r="G60" s="100" t="s">
        <v>601</v>
      </c>
    </row>
    <row r="61" spans="1:10" ht="36.75" customHeight="1">
      <c r="B61" s="100"/>
      <c r="C61" s="266" t="s">
        <v>592</v>
      </c>
      <c r="D61" s="374">
        <v>1615</v>
      </c>
      <c r="E61" s="51">
        <v>1700</v>
      </c>
      <c r="F61" s="55">
        <v>22</v>
      </c>
      <c r="G61" s="100" t="s">
        <v>602</v>
      </c>
    </row>
    <row r="62" spans="1:10" ht="24.75" customHeight="1">
      <c r="B62" s="264" t="s">
        <v>70</v>
      </c>
      <c r="C62" s="265"/>
      <c r="D62" s="53">
        <f>SUM(D59:D61)</f>
        <v>3888</v>
      </c>
      <c r="E62" s="53">
        <f>SUM(E59:E61)</f>
        <v>3780</v>
      </c>
      <c r="F62" s="62">
        <f>SUM(F59:F61)</f>
        <v>55</v>
      </c>
      <c r="G62" s="92"/>
    </row>
    <row r="63" spans="1:10" ht="27" customHeight="1">
      <c r="B63" s="100" t="s">
        <v>89</v>
      </c>
      <c r="C63" s="152" t="s">
        <v>593</v>
      </c>
      <c r="D63" s="51">
        <v>0</v>
      </c>
      <c r="E63" s="51">
        <v>15293.44</v>
      </c>
      <c r="F63" s="55">
        <v>0</v>
      </c>
      <c r="G63" s="92"/>
    </row>
    <row r="64" spans="1:10" ht="24.75" customHeight="1">
      <c r="B64" s="264" t="s">
        <v>70</v>
      </c>
      <c r="C64" s="265"/>
      <c r="D64" s="53">
        <f>SUM(D63)</f>
        <v>0</v>
      </c>
      <c r="E64" s="53">
        <f>SUM(E63)</f>
        <v>15293.44</v>
      </c>
      <c r="F64" s="62">
        <f>SUM(F63)</f>
        <v>0</v>
      </c>
      <c r="G64" s="92"/>
    </row>
    <row r="65" spans="2:7" ht="27" customHeight="1">
      <c r="B65" s="100" t="s">
        <v>93</v>
      </c>
      <c r="C65" s="152" t="s">
        <v>594</v>
      </c>
      <c r="D65" s="375">
        <v>0</v>
      </c>
      <c r="E65" s="375">
        <v>6000</v>
      </c>
      <c r="F65" s="55">
        <v>0</v>
      </c>
      <c r="G65" s="92"/>
    </row>
    <row r="66" spans="2:7" ht="24.75" customHeight="1">
      <c r="B66" s="264" t="s">
        <v>70</v>
      </c>
      <c r="C66" s="265"/>
      <c r="D66" s="53">
        <f>SUM(D65)</f>
        <v>0</v>
      </c>
      <c r="E66" s="53">
        <f>SUM(E65)</f>
        <v>6000</v>
      </c>
      <c r="F66" s="62">
        <f>SUM(F65)</f>
        <v>0</v>
      </c>
      <c r="G66" s="92"/>
    </row>
    <row r="67" spans="2:7" ht="30.75" customHeight="1">
      <c r="B67" s="100" t="s">
        <v>96</v>
      </c>
      <c r="C67" s="152"/>
      <c r="D67" s="374">
        <v>0</v>
      </c>
      <c r="E67" s="51">
        <v>0</v>
      </c>
      <c r="F67" s="55">
        <v>0</v>
      </c>
      <c r="G67" s="92"/>
    </row>
    <row r="68" spans="2:7" ht="24.75" customHeight="1">
      <c r="B68" s="264" t="s">
        <v>70</v>
      </c>
      <c r="C68" s="265"/>
      <c r="D68" s="53">
        <f>SUM(D65)</f>
        <v>0</v>
      </c>
      <c r="E68" s="53">
        <f>SUM(E67)</f>
        <v>0</v>
      </c>
      <c r="F68" s="62">
        <f>SUM(F67)</f>
        <v>0</v>
      </c>
      <c r="G68" s="92"/>
    </row>
    <row r="69" spans="2:7" ht="17.25" customHeight="1">
      <c r="B69" s="362"/>
      <c r="C69" s="363"/>
      <c r="D69" s="363"/>
      <c r="E69" s="363"/>
      <c r="F69" s="363"/>
      <c r="G69" s="364"/>
    </row>
    <row r="70" spans="2:7" ht="33" customHeight="1">
      <c r="B70" s="264" t="s">
        <v>595</v>
      </c>
      <c r="C70" s="265"/>
      <c r="D70" s="270">
        <f>SUM(D35+D54+D58+D62+D64+D66+D68)</f>
        <v>37441.35</v>
      </c>
      <c r="E70" s="270">
        <f>SUM(E58+E62+E64+E66+E68)</f>
        <v>25073.440000000002</v>
      </c>
      <c r="F70" s="371">
        <f>SUM(F35+F54+F68,F66,F64,F62,F58)</f>
        <v>224</v>
      </c>
      <c r="G70" s="92"/>
    </row>
    <row r="71" spans="2:7">
      <c r="B71" s="79"/>
      <c r="C71" s="65"/>
      <c r="D71" s="65"/>
      <c r="E71" s="65"/>
      <c r="F71" s="65"/>
    </row>
    <row r="72" spans="2:7">
      <c r="B72" s="98" t="s">
        <v>598</v>
      </c>
    </row>
    <row r="73" spans="2:7">
      <c r="B73" s="98"/>
    </row>
    <row r="74" spans="2:7">
      <c r="B74" s="99" t="s">
        <v>161</v>
      </c>
    </row>
    <row r="75" spans="2:7">
      <c r="B75" s="99" t="s">
        <v>596</v>
      </c>
    </row>
    <row r="76" spans="2:7">
      <c r="B76" s="99" t="s">
        <v>597</v>
      </c>
    </row>
    <row r="77" spans="2:7">
      <c r="B77" s="127"/>
    </row>
    <row r="78" spans="2:7">
      <c r="B78" s="99" t="s">
        <v>99</v>
      </c>
    </row>
    <row r="80" spans="2:7">
      <c r="B80" s="99" t="s">
        <v>163</v>
      </c>
      <c r="C80" s="66"/>
    </row>
    <row r="81" ht="15.75" customHeight="1"/>
  </sheetData>
  <mergeCells count="25">
    <mergeCell ref="B4:G4"/>
    <mergeCell ref="B5:G5"/>
    <mergeCell ref="B6:G6"/>
    <mergeCell ref="B8:B34"/>
    <mergeCell ref="D8:D9"/>
    <mergeCell ref="F8:F9"/>
    <mergeCell ref="D10:D11"/>
    <mergeCell ref="F10:F11"/>
    <mergeCell ref="D12:D14"/>
    <mergeCell ref="F12:F14"/>
    <mergeCell ref="D15:D18"/>
    <mergeCell ref="F15:F18"/>
    <mergeCell ref="D19:D21"/>
    <mergeCell ref="F19:F21"/>
    <mergeCell ref="D22:D23"/>
    <mergeCell ref="F22:F23"/>
    <mergeCell ref="B36:B53"/>
    <mergeCell ref="B55:G55"/>
    <mergeCell ref="B69:G69"/>
    <mergeCell ref="D24:D27"/>
    <mergeCell ref="F24:F27"/>
    <mergeCell ref="D28:D29"/>
    <mergeCell ref="F28:F29"/>
    <mergeCell ref="D30:D34"/>
    <mergeCell ref="F30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TOTALI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Di Terlizzi</dc:creator>
  <cp:lastModifiedBy>Patrizia Di Terlizzi</cp:lastModifiedBy>
  <dcterms:created xsi:type="dcterms:W3CDTF">2025-01-02T08:30:07Z</dcterms:created>
  <dcterms:modified xsi:type="dcterms:W3CDTF">2025-01-10T17:51:24Z</dcterms:modified>
</cp:coreProperties>
</file>