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63.35.129\direzione\COORDINAMENTO\0 Trasparenza\ANTICORRUZIONE E TRASPARENZA\2023\TRASPARENZA\Art. 30_introiti MENSILE\12. dicembre\per pubblicazione\"/>
    </mc:Choice>
  </mc:AlternateContent>
  <xr:revisionPtr revIDLastSave="0" documentId="13_ncr:1_{D35C82F7-0897-4B0F-83A6-3A6651176655}" xr6:coauthVersionLast="47" xr6:coauthVersionMax="47" xr10:uidLastSave="{00000000-0000-0000-0000-000000000000}"/>
  <bookViews>
    <workbookView xWindow="216" yWindow="192" windowWidth="22332" windowHeight="12060" activeTab="6" xr2:uid="{58675FE4-2049-47CA-A61F-42EC749E1B8C}"/>
  </bookViews>
  <sheets>
    <sheet name="M1" sheetId="1" r:id="rId1"/>
    <sheet name="M2" sheetId="2" r:id="rId2"/>
    <sheet name="M3" sheetId="3" r:id="rId3"/>
    <sheet name="M4" sheetId="4" r:id="rId4"/>
    <sheet name="M5" sheetId="5" r:id="rId5"/>
    <sheet name="M6" sheetId="6" r:id="rId6"/>
    <sheet name="M7" sheetId="7" r:id="rId7"/>
    <sheet name="M8" sheetId="8" r:id="rId8"/>
    <sheet name="M9" sheetId="9" r:id="rId9"/>
    <sheet name="TOTALE" sheetId="10" r:id="rId10"/>
  </sheet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8" i="8" l="1"/>
  <c r="E68" i="8"/>
  <c r="F87" i="7"/>
  <c r="E87" i="7"/>
  <c r="F66" i="7"/>
  <c r="E66" i="7"/>
  <c r="D66" i="7"/>
  <c r="F85" i="7"/>
  <c r="E85" i="7"/>
  <c r="D85" i="7"/>
  <c r="F83" i="7"/>
  <c r="E83" i="7"/>
  <c r="D83" i="7"/>
  <c r="F80" i="7"/>
  <c r="E79" i="7"/>
  <c r="D79" i="7"/>
  <c r="D80" i="7" s="1"/>
  <c r="E78" i="7"/>
  <c r="E77" i="7"/>
  <c r="E80" i="7" s="1"/>
  <c r="F75" i="7"/>
  <c r="E75" i="7"/>
  <c r="E74" i="7"/>
  <c r="D74" i="7"/>
  <c r="F73" i="7"/>
  <c r="E73" i="7"/>
  <c r="D73" i="7"/>
  <c r="E72" i="7"/>
  <c r="D72" i="7"/>
  <c r="E71" i="7"/>
  <c r="F70" i="7"/>
  <c r="E70" i="7"/>
  <c r="D70" i="7"/>
  <c r="F62" i="7"/>
  <c r="E62" i="7"/>
  <c r="D58" i="7"/>
  <c r="D57" i="7"/>
  <c r="D56" i="7"/>
  <c r="D55" i="7"/>
  <c r="D54" i="7"/>
  <c r="D53" i="7"/>
  <c r="D52" i="7"/>
  <c r="D51" i="7"/>
  <c r="D50" i="7"/>
  <c r="D49" i="7"/>
  <c r="D48" i="7"/>
  <c r="D47" i="7"/>
  <c r="D46" i="7"/>
  <c r="D45" i="7"/>
  <c r="D43" i="7"/>
  <c r="D42" i="7"/>
  <c r="D41" i="7"/>
  <c r="D40" i="7"/>
  <c r="D39" i="7"/>
  <c r="D38" i="7"/>
  <c r="D36" i="7"/>
  <c r="D35" i="7"/>
  <c r="D34" i="7"/>
  <c r="D33" i="7"/>
  <c r="D32" i="7"/>
  <c r="D30" i="7"/>
  <c r="D29" i="7"/>
  <c r="D26" i="7"/>
  <c r="D23" i="7"/>
  <c r="D22" i="7"/>
  <c r="D20" i="7"/>
  <c r="D19" i="7"/>
  <c r="D18" i="7"/>
  <c r="D17" i="7"/>
  <c r="D16" i="7"/>
  <c r="D14" i="7"/>
  <c r="D13" i="7"/>
  <c r="D12" i="7"/>
  <c r="D11" i="7"/>
  <c r="D8" i="7"/>
  <c r="F88" i="4"/>
  <c r="E88" i="4"/>
  <c r="D88" i="4"/>
  <c r="F86" i="4"/>
  <c r="E86" i="4"/>
  <c r="D86" i="4"/>
  <c r="F82" i="4"/>
  <c r="E82" i="4"/>
  <c r="D82" i="4"/>
  <c r="F78" i="4"/>
  <c r="E78" i="4"/>
  <c r="D78" i="4"/>
  <c r="E74" i="4"/>
  <c r="E69" i="4"/>
  <c r="F84" i="4"/>
  <c r="E84" i="4"/>
  <c r="D84" i="4"/>
  <c r="F80" i="4"/>
  <c r="E80" i="4"/>
  <c r="D80" i="4"/>
  <c r="F74" i="4"/>
  <c r="D74" i="4"/>
  <c r="F69" i="4"/>
  <c r="D69" i="4"/>
  <c r="F104" i="6"/>
  <c r="F106" i="6" s="1"/>
  <c r="E104" i="6"/>
  <c r="E106" i="6" s="1"/>
  <c r="D104" i="6"/>
  <c r="D106" i="6" s="1"/>
  <c r="F83" i="6"/>
  <c r="E83" i="6"/>
  <c r="D83" i="6"/>
  <c r="E79" i="6"/>
  <c r="E56" i="6"/>
  <c r="F102" i="6"/>
  <c r="E102" i="6"/>
  <c r="D102" i="6"/>
  <c r="F90" i="6"/>
  <c r="E90" i="6"/>
  <c r="D90" i="6"/>
  <c r="F86" i="6"/>
  <c r="E86" i="6"/>
  <c r="D86" i="6"/>
  <c r="F79" i="6"/>
  <c r="D79" i="6"/>
  <c r="F56" i="6"/>
  <c r="D56" i="6"/>
  <c r="D76" i="7" l="1"/>
  <c r="F76" i="7"/>
  <c r="E76" i="7"/>
  <c r="D62" i="7"/>
  <c r="D87" i="7" s="1"/>
  <c r="F66" i="8"/>
  <c r="E66" i="8"/>
  <c r="D66" i="8"/>
  <c r="F64" i="8"/>
  <c r="E64" i="8"/>
  <c r="D64" i="8"/>
  <c r="F62" i="8" l="1"/>
  <c r="E62" i="8"/>
  <c r="D62" i="8"/>
  <c r="E51" i="8"/>
  <c r="E44" i="8"/>
  <c r="F67" i="5" l="1"/>
  <c r="E67" i="5"/>
  <c r="D67" i="5"/>
  <c r="F65" i="5"/>
  <c r="E65" i="5"/>
  <c r="D65" i="5"/>
  <c r="F63" i="5"/>
  <c r="E63" i="5"/>
  <c r="D63" i="5"/>
  <c r="F61" i="5"/>
  <c r="E61" i="5"/>
  <c r="D61" i="5"/>
  <c r="F55" i="5"/>
  <c r="E55" i="5"/>
  <c r="D55" i="5"/>
  <c r="F51" i="5"/>
  <c r="E51" i="5"/>
  <c r="D51" i="5"/>
  <c r="F46" i="5"/>
  <c r="E45" i="5"/>
  <c r="D45" i="5"/>
  <c r="E44" i="5"/>
  <c r="D44" i="5"/>
  <c r="E43" i="5"/>
  <c r="E41" i="5"/>
  <c r="D41" i="5"/>
  <c r="E39" i="5"/>
  <c r="D39" i="5"/>
  <c r="E38" i="5"/>
  <c r="E36" i="5"/>
  <c r="D36" i="5"/>
  <c r="E35" i="5"/>
  <c r="D34" i="5"/>
  <c r="E32" i="5"/>
  <c r="E31" i="5"/>
  <c r="E29" i="5"/>
  <c r="D29" i="5"/>
  <c r="E28" i="5"/>
  <c r="E27" i="5"/>
  <c r="D27" i="5"/>
  <c r="E26" i="5"/>
  <c r="D26" i="5"/>
  <c r="E25" i="5"/>
  <c r="D25" i="5"/>
  <c r="E24" i="5"/>
  <c r="E23" i="5"/>
  <c r="D23" i="5"/>
  <c r="E22" i="5"/>
  <c r="D22" i="5"/>
  <c r="E21" i="5"/>
  <c r="E20" i="5"/>
  <c r="D20" i="5"/>
  <c r="E19" i="5"/>
  <c r="E18" i="5"/>
  <c r="D18" i="5"/>
  <c r="D17" i="5"/>
  <c r="E16" i="5"/>
  <c r="D16" i="5"/>
  <c r="E15" i="5"/>
  <c r="E14" i="5"/>
  <c r="D14" i="5"/>
  <c r="E13" i="5"/>
  <c r="E12" i="5"/>
  <c r="D12" i="5"/>
  <c r="E11" i="5"/>
  <c r="E10" i="5"/>
  <c r="D10" i="5"/>
  <c r="E9" i="5"/>
  <c r="E8" i="5"/>
  <c r="D8" i="5"/>
  <c r="E46" i="5" l="1"/>
  <c r="F69" i="5"/>
  <c r="E69" i="5"/>
  <c r="D46" i="5"/>
  <c r="D69" i="5" s="1"/>
  <c r="D68" i="8" l="1"/>
  <c r="F60" i="8"/>
  <c r="E60" i="8"/>
  <c r="D60" i="8"/>
  <c r="F57" i="8"/>
  <c r="E57" i="8"/>
  <c r="D57" i="8"/>
  <c r="F51" i="8"/>
  <c r="D51" i="8"/>
  <c r="F44" i="8"/>
  <c r="D44" i="8"/>
  <c r="G121" i="1"/>
  <c r="F121" i="1"/>
  <c r="E121" i="1"/>
  <c r="G125" i="1" l="1"/>
  <c r="F125" i="1"/>
  <c r="E125" i="1"/>
  <c r="G123" i="1"/>
  <c r="F123" i="1"/>
  <c r="E123" i="1"/>
  <c r="G119" i="1"/>
  <c r="F119" i="1"/>
  <c r="E119" i="1"/>
  <c r="G117" i="1"/>
  <c r="F117" i="1"/>
  <c r="E117" i="1"/>
  <c r="G111" i="1"/>
  <c r="F111" i="1"/>
  <c r="E111" i="1"/>
  <c r="G86" i="1"/>
  <c r="F86" i="1"/>
  <c r="F127" i="1" s="1"/>
  <c r="E86" i="1"/>
  <c r="E70" i="9"/>
  <c r="F68" i="9"/>
  <c r="E68" i="9"/>
  <c r="D68" i="9"/>
  <c r="D63" i="9"/>
  <c r="E53" i="9"/>
  <c r="E38" i="9"/>
  <c r="F66" i="9"/>
  <c r="E66" i="9"/>
  <c r="D66" i="9"/>
  <c r="F63" i="9"/>
  <c r="E63" i="9"/>
  <c r="F61" i="9"/>
  <c r="E61" i="9"/>
  <c r="D61" i="9"/>
  <c r="F57" i="9"/>
  <c r="E57" i="9"/>
  <c r="D57" i="9"/>
  <c r="F53" i="9"/>
  <c r="D53" i="9"/>
  <c r="D38" i="9"/>
  <c r="D37" i="9"/>
  <c r="F36" i="9"/>
  <c r="D36" i="9"/>
  <c r="D35" i="9"/>
  <c r="F34" i="9"/>
  <c r="D34" i="9"/>
  <c r="F33" i="9"/>
  <c r="D33" i="9"/>
  <c r="F32" i="9"/>
  <c r="D32" i="9"/>
  <c r="F31" i="9"/>
  <c r="D31" i="9"/>
  <c r="D30" i="9"/>
  <c r="F27" i="9"/>
  <c r="D27" i="9"/>
  <c r="F25" i="9"/>
  <c r="D25" i="9"/>
  <c r="F24" i="9"/>
  <c r="D24" i="9"/>
  <c r="F23" i="9"/>
  <c r="E23" i="9"/>
  <c r="D23" i="9"/>
  <c r="F22" i="9"/>
  <c r="D22" i="9"/>
  <c r="D21" i="9"/>
  <c r="F20" i="9"/>
  <c r="D20" i="9"/>
  <c r="F19" i="9"/>
  <c r="D19" i="9"/>
  <c r="F18" i="9"/>
  <c r="D18" i="9"/>
  <c r="F17" i="9"/>
  <c r="D17" i="9"/>
  <c r="F16" i="9"/>
  <c r="D16" i="9"/>
  <c r="F15" i="9"/>
  <c r="D15" i="9"/>
  <c r="F14" i="9"/>
  <c r="D14" i="9"/>
  <c r="F12" i="9"/>
  <c r="F38" i="9" s="1"/>
  <c r="D12" i="9"/>
  <c r="F11" i="9"/>
  <c r="D11" i="9"/>
  <c r="F9" i="9"/>
  <c r="D9" i="9"/>
  <c r="F8" i="9"/>
  <c r="D8" i="9"/>
  <c r="F109" i="3"/>
  <c r="E109" i="3"/>
  <c r="D109" i="3"/>
  <c r="F107" i="3"/>
  <c r="E107" i="3"/>
  <c r="D107" i="3"/>
  <c r="F105" i="3"/>
  <c r="E105" i="3"/>
  <c r="D105" i="3"/>
  <c r="F103" i="3"/>
  <c r="E103" i="3"/>
  <c r="D103" i="3"/>
  <c r="F101" i="3"/>
  <c r="E101" i="3"/>
  <c r="D101" i="3"/>
  <c r="E97" i="3"/>
  <c r="E90" i="3"/>
  <c r="E111" i="3" s="1"/>
  <c r="E60" i="2"/>
  <c r="E56" i="2"/>
  <c r="E52" i="2"/>
  <c r="E49" i="2"/>
  <c r="F97" i="3"/>
  <c r="D97" i="3"/>
  <c r="F90" i="3"/>
  <c r="D80" i="3"/>
  <c r="D78" i="3"/>
  <c r="D76" i="3"/>
  <c r="D74" i="3"/>
  <c r="D72" i="3"/>
  <c r="D66" i="3"/>
  <c r="D64" i="3"/>
  <c r="D63" i="3"/>
  <c r="D62" i="3"/>
  <c r="D54" i="3"/>
  <c r="D53" i="3"/>
  <c r="D50" i="3"/>
  <c r="D48" i="3"/>
  <c r="D47" i="3"/>
  <c r="D46" i="3"/>
  <c r="D90" i="3" l="1"/>
  <c r="D111" i="3" s="1"/>
  <c r="G127" i="1"/>
  <c r="E127" i="1"/>
  <c r="F70" i="9"/>
  <c r="D70" i="9"/>
  <c r="F111" i="3"/>
  <c r="F66" i="2"/>
  <c r="E66" i="2"/>
  <c r="D66" i="2"/>
  <c r="F60" i="2"/>
  <c r="D60" i="2"/>
  <c r="F58" i="2"/>
  <c r="E58" i="2"/>
  <c r="D58" i="2"/>
  <c r="F56" i="2"/>
  <c r="D56" i="2"/>
  <c r="F52" i="2"/>
  <c r="D52" i="2"/>
  <c r="F49" i="2"/>
  <c r="D49" i="2"/>
  <c r="D68" i="2" l="1"/>
  <c r="E68" i="2"/>
  <c r="F68" i="2"/>
</calcChain>
</file>

<file path=xl/sharedStrings.xml><?xml version="1.0" encoding="utf-8"?>
<sst xmlns="http://schemas.openxmlformats.org/spreadsheetml/2006/main" count="1093" uniqueCount="643">
  <si>
    <t>Comune di Milano</t>
  </si>
  <si>
    <t>DIREZIONE SERVIZI CIVICI E MUNICIPI</t>
  </si>
  <si>
    <t>INTROITI PER CONCESSIONI DI LOCALI SCOLASTICI, SPAZI MULTIUSO, IMMOBILI E AREE - PERIODO: GENNAIO 2023 – DICEMBRE 2023</t>
  </si>
  <si>
    <t>MUNICIPIO 2</t>
  </si>
  <si>
    <t xml:space="preserve"> LOCALI SCOLASTICI E SPAZI MULTIUSO</t>
  </si>
  <si>
    <t>tipologia di procedimento</t>
  </si>
  <si>
    <t>tipologia
immobile/ area
indirizzo</t>
  </si>
  <si>
    <t>totale canoni percepiti a partire da gennaio 2023</t>
  </si>
  <si>
    <t>tariffa oraria pattuita</t>
  </si>
  <si>
    <t>numero totale contratti 
gestiti</t>
  </si>
  <si>
    <t>Note 
(ragioni per cui il canone percepito è superiore al canone annuo pattuito ed aventuali altre annotazioni)</t>
  </si>
  <si>
    <t>Concessioni in uso di locali scolastici (per singolo plesso)</t>
  </si>
  <si>
    <t>PALESTRA GRANDE VIA PONTANO, 43 – C.P.I.A. 5</t>
  </si>
  <si>
    <t>PALESTRA VIA GALVANI, 7 – I.C. GALVANI</t>
  </si>
  <si>
    <t>PALESTRA VIA FARA, 32 – I.C. GALVANI</t>
  </si>
  <si>
    <t>PALESTRA SOLARIUM VIA GIACOSA, 46 – I.C. GIACOSA</t>
  </si>
  <si>
    <t>PADIGLIONE BONGIOVANNI VIA GIACOSA, 46 – I.C. GIACOSA</t>
  </si>
  <si>
    <t>PADIGLIONE TOMMASEO VIA GIACOSA, 46 – I.C. GIACOSA</t>
  </si>
  <si>
    <t>PADIGLIONE GABELLI VIA GIACOSA, 46 - I.C. GIACOSA</t>
  </si>
  <si>
    <t>PADIGLIONE ZADRA VIA GIACOSA, 46 – I.C. GIACOSA</t>
  </si>
  <si>
    <t>AULA VIA GIACOSA, 46 – I.C. GIACOSA</t>
  </si>
  <si>
    <t>PALESTRA VIA RUSSO, 23 – I.C. GIACOSA</t>
  </si>
  <si>
    <t>AULA VIA RUSSO, 23 – I.C. GIACOSA</t>
  </si>
  <si>
    <t>PALESTRA VIALE ZARA, 96 – I.C. ARBE-ZARA</t>
  </si>
  <si>
    <t>AULA VIALE ZARA, 96 – I.C. ARBE-ZARA</t>
  </si>
  <si>
    <t>CORTILE VIALE ZARA, 96 – I.C. ARBE-ZARA</t>
  </si>
  <si>
    <t>PALESTRA VIA CAGLIERO – I.C. FRANCESCHI</t>
  </si>
  <si>
    <t>PALESTRA A VIA MUZIO – I.C. FRANCESCHI</t>
  </si>
  <si>
    <t>PALESTRA B VIA MUZIO – I.C. FRANCESCHI</t>
  </si>
  <si>
    <t>CORTILE VIA MUZIO – I.C. FRANCESCHI</t>
  </si>
  <si>
    <t>PALESTRA VIA FRIGIA – I.C. CALVINO</t>
  </si>
  <si>
    <t>PALESTRA VIA MATTEI – I.C. CALVINO</t>
  </si>
  <si>
    <t>AULA VIA MATTEI – I.C. CALVINO</t>
  </si>
  <si>
    <t>PALESTRA S. UGUZZONE – I.C. CALVINO</t>
  </si>
  <si>
    <t>PALESTRA VIA ADRIANO – I.C. PERASSO</t>
  </si>
  <si>
    <t>PALESTRA VIA BOTTEGO – I.C. PERASSO</t>
  </si>
  <si>
    <t>AULA VIA ADRIANO – I.C. PERASSO</t>
  </si>
  <si>
    <t>AULA VIA BOTTEGO – I.C. PERASSO</t>
  </si>
  <si>
    <t>PALESTRINA VIA SAN MAMETE – I.C. PERASSO</t>
  </si>
  <si>
    <t>PALESTRA VIA SAN MAMETE – I.C. PERASSO</t>
  </si>
  <si>
    <t>ATRIO VIA SAN MAMETE – I.C. PERASSO</t>
  </si>
  <si>
    <t>PALESTRA VIA BOTTELLI – I.C. LOCATELLI-QUASIMODO</t>
  </si>
  <si>
    <t>PALESTRA VIA DELLA GIUSTIZIA – I.C. LOCATELLI-QUASIMODO</t>
  </si>
  <si>
    <t>PALESTRA VIA CESALPINO, 38 – I.C. PAOLO E LARISSA PINI</t>
  </si>
  <si>
    <t>PALESTRA VIA CESALPINO, 40 – I.C. PAOLO E LARISSA PINI</t>
  </si>
  <si>
    <t>PALESTRA VIA STEFANARDO DA VIMERCATE, 14 – I.C. PAOLO E LARISSA PINI</t>
  </si>
  <si>
    <t>PALESTRA VIA SANT’ERLEMBARDO, 4 – I.C. PAOLO E LARISSA PINI</t>
  </si>
  <si>
    <t>PALESTRA VIA VENINI, 80 – I.C. TEODORO CIRESOLA</t>
  </si>
  <si>
    <t>AULA VIA VENINI, 80 – I.C. TEODORO CIRESOLA</t>
  </si>
  <si>
    <t>AULA VIALE BRIANZA, 18 – I.C. TEODORO CIRESOLA</t>
  </si>
  <si>
    <t>PALESTRA ALTA VIALE BRIANZA, 18 – I.C. TEODORO CIRESOLA</t>
  </si>
  <si>
    <t>PALESTRA BASSA VIALE BRIANZA, 18 – I.C. TEODORO CIRESOLA</t>
  </si>
  <si>
    <t>totale</t>
  </si>
  <si>
    <t>concessione in uso spazi multiuso</t>
  </si>
  <si>
    <t>CASCINA TURRO</t>
  </si>
  <si>
    <t>ANFITEATRO MARTESANA</t>
  </si>
  <si>
    <t>IMMOBILI E AREE</t>
  </si>
  <si>
    <t>tipologia
immobile/ area 
indirizzo</t>
  </si>
  <si>
    <t>canone annuo pattuito</t>
  </si>
  <si>
    <t>Note
(ragioni per cui il canone percepito è superiore al canone annuo pattuito ed aventuali altre annotazioni)</t>
  </si>
  <si>
    <t>concessione d'uso immobili per progetti di sviluppo di attività culturali ed economiche</t>
  </si>
  <si>
    <t>concessione in uso particelle ortive</t>
  </si>
  <si>
    <t>orti Via Nuoro / Via Alghero snc</t>
  </si>
  <si>
    <t>concessione impianti sportivi</t>
  </si>
  <si>
    <t>concessioni in uso di spazi diversi dai precedenti</t>
  </si>
  <si>
    <t>struttura monopiano ex edificio scolastico scuola materna/ Via Sant'Uguzzone, 8 concessionario ATI casa dei Giochi</t>
  </si>
  <si>
    <t xml:space="preserve">accordo di coprogettazione con l'Associazione Telefono Donna Onlus finalizzaato alla gestione del "Centro Milano Donna" Via Sant'Uguzzone, 8 </t>
  </si>
  <si>
    <t>spazio sottostante il lato sinistro dell'anfiteatro Martesana / Parco Martiri della Libertà Iracheni Vittime del Terrorismo- concessionario ATI con capofila l'associazione Ponte giallo</t>
  </si>
  <si>
    <t>bar all'interno del Parco Franca Rame concessionario Alma Bar</t>
  </si>
  <si>
    <t xml:space="preserve">PAGAMENTO comprensivo di arretrato 2022. </t>
  </si>
  <si>
    <t>Giardino condiviso  ubicato tra le Via Esterle / Petraccone / Palmanova concessionario Legambiente</t>
  </si>
  <si>
    <t>TOTALE GENERALE
importo comprensivo di I.V.A. ai sensi di legge</t>
  </si>
  <si>
    <t>Municipio 2</t>
  </si>
  <si>
    <t>*Il documento è firmato digitalmente ai sensi del D. Lgs. 82/2005 s.m.i. e norme collegate e sostituisce il documento cartaceo e la firma autografa.</t>
  </si>
  <si>
    <t xml:space="preserve"> MUNICIPIO 3</t>
  </si>
  <si>
    <t xml:space="preserve">concessioni in uso di locali scolastici </t>
  </si>
  <si>
    <t>I.C. STOPPANI - PRIMARIA BACONE
VIA MATTEUCCI, 3 AULA</t>
  </si>
  <si>
    <t>I.C. STOPPANI - PRIMARIA BACONE
VIA MATTEUCCI, 3 PALESTRINA</t>
  </si>
  <si>
    <t>I.C. STOPPANI - PRIMARIA BACONE
VIA MATTEUCCI, 3 AULA MAGNA</t>
  </si>
  <si>
    <t>I.C. STOPPANI - PRIMARIA BACONE
VIA MATTEUCCI, 3 PALESTRA</t>
  </si>
  <si>
    <t>I.C. STOPPANI - PRIMARIA STOPPANI
VIA STOPPANI, 1 AULA</t>
  </si>
  <si>
    <t>I.C. STOPPANI - PRIMARIA STOPPANI
VIA STOPPANI, 1 ATRIO</t>
  </si>
  <si>
    <t>I.C. STOPPANI - PRIMARIA STOPPANI
VIA STOPPANI, 1 PALESTRA</t>
  </si>
  <si>
    <t>I.C. STOPPANI - SECONDARIA
VIA MONTERDI, 6 PALESTRA</t>
  </si>
  <si>
    <t>I.C. GALLI - PRIMARIA BONETTI
VIA TAJANI, 12 AULA</t>
  </si>
  <si>
    <t>I.C. GALLI - PRIMARIA BONETTI
VIA TAJANI, 12 PALESTRA</t>
  </si>
  <si>
    <t>I.C. GALLI - PRIMARIA NOLLI ARQUATI
VIALE ROMAGNA, 12 AULA</t>
  </si>
  <si>
    <t>I.C. GALLI - PRIMARIA NOLLI ARQUATI
VIALE ROMAGNA, 12 PALESTRA</t>
  </si>
  <si>
    <t>I.C. GALLI - PRIMARIA TOTI
VIA CIMA, 15 AULA</t>
  </si>
  <si>
    <t>I.C. GALLI - PRIMARIA TOTI
VIA CIMA, 15 PALESTRA</t>
  </si>
  <si>
    <t>I.C. LEONARDO DA VINCI
PIAZZA LEONARDO DA VONCI, 2 AULA</t>
  </si>
  <si>
    <t>I.C. LEONARDO DA VINCI
PIAZZA LEONARDO DA VONCI, 2 PALESTRA EST</t>
  </si>
  <si>
    <t>I.C. LEONARDO DA VINCI
PIAZZA LEONARDO DA VONCI, 2 PALESTRA OVEST</t>
  </si>
  <si>
    <t>I.C. SCARPA - PRIMARIA SCARPA
VIA CLERICETTI, 22 AULA</t>
  </si>
  <si>
    <t>I.C. SCARPA - PRIMARIA SCARPA
VIA CLERICETTI, 22 PALESTRA</t>
  </si>
  <si>
    <t>I.C. SCARPA - PRIMARIA MORANTE
VIA PINI, 3 AULA</t>
  </si>
  <si>
    <t>I.C. SCARPA - PRIMARIA MORANTE
VIA PINI, 3 PALESTRA PICCOLA</t>
  </si>
  <si>
    <t>I.C. SCARPA - PRIMARIA MORANTE
VIA PINI, 3 PALESTRA GRANDE</t>
  </si>
  <si>
    <t>I.C. SCARPA - SEC. CAIROLI
VIA PASCAL, 35 AULA</t>
  </si>
  <si>
    <t>I.C. SCARPA - SEC. CAIROLI
VIA PASCAL, 35 PALESTRA</t>
  </si>
  <si>
    <t>I.C. QUINTINO DI VONA - PRIMARIA TITO SPERI
VIA PORPORA, 11 PALESTRA</t>
  </si>
  <si>
    <t>I.C. QUINTINO DI VONA - SECONDARIA
VIA SACCHINI, 34 PALESTRA P.T.</t>
  </si>
  <si>
    <t>I.C. QUINTINO DI VONA - SECONDARIA
VIA SACCHINI, 34 PALESTRA 1° P.</t>
  </si>
  <si>
    <t>I.C. PISACANE - PRIMARIA
VIA PISACANE, 9 AULA</t>
  </si>
  <si>
    <t>I.C. PISACANE - PRIMARIA
VIA PISACANE, 9 PALESTRA PICCOLA</t>
  </si>
  <si>
    <t>I.C. PISACANE - PRIMARIA
VIA PISACANE, 9 PALESTRA GRANDE</t>
  </si>
  <si>
    <t>I.C. PISACANE - PRIMARIA
VIA PISACANE, 9 AUDITORIUM</t>
  </si>
  <si>
    <t>I.C. PISACANE - SECONDARIA
VIA PISACANE, 13 AULA</t>
  </si>
  <si>
    <t>I.C. PISACANE - SECONDARIA
VIA PISACANE, 13 PALESTRA</t>
  </si>
  <si>
    <t>I.C. MANIAGO - PRIMARIA MUNARI
VIA FELTRE, 68/1 PALESTRA</t>
  </si>
  <si>
    <t>I.C. MANIAGO - PRIMARIA FERMI
VIA CARNIA, 32 PALESTRA</t>
  </si>
  <si>
    <t>I.C. MANIAGO - SEC. BUZZATI
VIA MANIAGO, 30 PALESTRA GRANDE</t>
  </si>
  <si>
    <t>I.C. MANIAGO - SEC. BUZZATI
VIA MANIAGO, 30 PALESTRA PICCOLA</t>
  </si>
  <si>
    <t>I.C. GALVANI - PRIMARIA
VIA CASATI, 6 AULA</t>
  </si>
  <si>
    <t>I.C. GALVANI - PRIMARIA
VIA CASATI, 6 PALESTRA</t>
  </si>
  <si>
    <t>I.C. GALVANI - PRIMARIA
VIA CASATI, 6 SALONE</t>
  </si>
  <si>
    <t>I.C. GALVANI - SECONDARIA
VIA SAN GREGORIO, 5 CORTILE</t>
  </si>
  <si>
    <t>Via Pini, 1
Palestra</t>
  </si>
  <si>
    <t>Via Sansovino, 9
Aula Consiliare</t>
  </si>
  <si>
    <t>Gratuità prevista con Delibera per le istituzioni scolastiche e i gruppi consiliari del Municipio 3.</t>
  </si>
  <si>
    <t>Via Val Vassori Peroni, 56
Auditorium</t>
  </si>
  <si>
    <t>Orti ubicati in via Canelli Folli</t>
  </si>
  <si>
    <t>Via Tucidide, 10
Centro sportivo Scarioni</t>
  </si>
  <si>
    <t>BAR
via Valvassori Peroni</t>
  </si>
  <si>
    <t>concessioni in comodato d'uso</t>
  </si>
  <si>
    <r>
      <t xml:space="preserve">TOTALE GENERALE
</t>
    </r>
    <r>
      <rPr>
        <sz val="12"/>
        <color theme="1"/>
        <rFont val="Calibri"/>
        <family val="2"/>
        <scheme val="minor"/>
      </rPr>
      <t>importo comprensivo di I.V.A. ai sensi di legge</t>
    </r>
  </si>
  <si>
    <t>Milano, 29 dicembre 2023</t>
  </si>
  <si>
    <t>La Responsabile Unità Coordinamento</t>
  </si>
  <si>
    <t>*Dr.ssa Loredana Bellanca</t>
  </si>
  <si>
    <t>Originale sottoscritto conservato presso la Direzione Servizi Civici e Municipi - Area Municipi</t>
  </si>
  <si>
    <t>Municipio 3</t>
  </si>
  <si>
    <t>Dr.ssa  Elisabetta Pedratti</t>
  </si>
  <si>
    <t>INTROITI PER CONCESSIONI DI LOCALI SCOLASTICI, SPAZI MULTIUSO, IMMOBILI E AREE - PERIODO: GENNAIO 2023 - DICEMBRE 2023</t>
  </si>
  <si>
    <t>MUNICIPIO 9</t>
  </si>
  <si>
    <t>tariffa oraria 
pattuita</t>
  </si>
  <si>
    <t>concessioni in uso di locali scolastici
 (per singolo plesso)</t>
  </si>
  <si>
    <t>AULA - I.C. ARBE ZARA
Scuola Primaria "Poerio" - Via Pianell n. 40</t>
  </si>
  <si>
    <t>PALESTRA - I.C. ARBE ZARA
 Scuola Primaria "Poerio" - Via Pianell n. 40</t>
  </si>
  <si>
    <t>PALESTRA - I.C. ARBE ZARA
Scuola Secondaria di  1° Grado "Falcone e Borsellino" - V.le Sarca n. 24</t>
  </si>
  <si>
    <t xml:space="preserve">PALESTRA - I.C. CESARE CANTÚ
Scuola Primaria "Hanna Frank" - Via Dora Baltea n. 16 </t>
  </si>
  <si>
    <t>PALESTRA - I.C. CESARE CANTÚ
Scuola Primaria - Via  Dei Braschi n. 12</t>
  </si>
  <si>
    <t>AULA - I.C. CONFALONIERI
Scuola Primaria - Via Crespi n. 1</t>
  </si>
  <si>
    <t>PALESTRA - I.C. CONFALONIERI
Scuola Primaria - Via dal Verme n. 10</t>
  </si>
  <si>
    <t>PALESTRA - I.C. CONFALONIERI
 Scuola Secondaria di 1° grado "Govone" - Via Pepe n. 40</t>
  </si>
  <si>
    <t>PALESTRA - I.C. CONFALONIERI                                                                                                                                                                                                                                                                                                                                      Scuola Primaria Lambruschini - Via Crespi 1</t>
  </si>
  <si>
    <t>PALESTRA - I.C. DON ORIONE
Scuola Secondaria di 1° grado "Leonardo da Vinci" - Via Sand  n. 32</t>
  </si>
  <si>
    <t>PALESTRA - I.C. DON ORIONE
 Scuola Primaria "Caracciolo" - Via Iseo n. 7</t>
  </si>
  <si>
    <t>AULA PSICOMOTRICITA' - I.C. DON ORIONE
Scuola Primaria "Caracciolo" - Via Iseo n. 7</t>
  </si>
  <si>
    <t xml:space="preserve">PALESTRA - I.C. DON ORIONE 
Scuola Primaria  "Don Orione" - Via Fabriano n. 4 </t>
  </si>
  <si>
    <t>AULA - I.C. LOCATELLI/QUASIMODO 
Scuola Primaria "Locatelli" - Via Veglia n. 80</t>
  </si>
  <si>
    <t xml:space="preserve">PALESTRA - I.C. LOCATELLI/QUASIMODO   
Scuola Secondaria di 1° grado "Tommaseo" - P.le Istria n. 11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</si>
  <si>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AULA MAGNA - I.C. LOCATELLI/QUASIMODO   
Scuola Secondaria di 1° grado "Tommaseo" - P.le Istria n. 11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</si>
  <si>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PALESTRA - .C. LOCATELLI/QUASIMODO 
Scuola Secondaria di 1° grado "Tommaseo" - Via Veglia n. 80</t>
  </si>
  <si>
    <t>PALESTRA - I.C. LOCCHI
Scuola Primaria "Duca degli Abruzzi" - Via Cesari n. 38</t>
  </si>
  <si>
    <t xml:space="preserve"> AULA - I.C. LOCCHI
Scuola Primaria "Duca degli Abruzzi" - Via Cesari n. 38 </t>
  </si>
  <si>
    <t xml:space="preserve"> AUDITORIUM TEATRO - I.C. LOCCHI 
Scuola Primaria "Duca degli Abruzzi" - Via Cesari n. 38</t>
  </si>
  <si>
    <t xml:space="preserve"> AULA - I.C. LOCCHI
Scuola Primaria - Via Passerini n. 4</t>
  </si>
  <si>
    <t>PALESTRA - I.C. LOCCHI
Scuola Primaria "- Via Passerini n. 4</t>
  </si>
  <si>
    <t>PALESTRA - I.C. OLMI
Scuola Secondaria di 1°grado - Via Maffucci n. 60</t>
  </si>
  <si>
    <t>PALESTRA - I.C. SANDRO PERTINI 
Scuola Secondaria "Falcone e Borsellino" -  Via T. Mann n. 8</t>
  </si>
  <si>
    <t>PALESTRA - I.C. SANDRO PERTINI
Scuola Primaria "Pirelli" - Via da Bussero n. 9</t>
  </si>
  <si>
    <t>PALESTRA - I.C. SANDRO PERTINI 
Scuola Secondaria "Verga" - Via Asturie n. 1</t>
  </si>
  <si>
    <t>PALESTRA - I.C. SCIALOIA 
Scuola Primaria "Calvino" - Via Scialoia, 19</t>
  </si>
  <si>
    <t xml:space="preserve"> PALESTRA - I.C. SCIALOIA 
Scuola Secondaria di 1° grado "Buonarroti" - Via Scialoia n. 21</t>
  </si>
  <si>
    <t>PALESTRA - I.C. SORELLE AGAZZI
Scuola Secondaria di 1° grado "GANDHI" Piazza Gasparri n. 6</t>
  </si>
  <si>
    <t>PALESTRA - I.C. SORELLE AGAZZI 
Scuola  Secondaria di I° "Rodari" - Via Gabbro 6/a</t>
  </si>
  <si>
    <t>concessioni in uso spazi multiuso</t>
  </si>
  <si>
    <t>SPAZIO PALESTRA - CAM
 Via Ciriè n. 9</t>
  </si>
  <si>
    <t>SPAZIO TEATRO - CAM
Via Ciriè n. 9</t>
  </si>
  <si>
    <t>SALA - VILLA LITTA
Viale Affori n.21</t>
  </si>
  <si>
    <t>SALONE
Via Empoli n. 9/2</t>
  </si>
  <si>
    <t>ANFITEATRO - CASSINA ANNA 
Via Sant'Arnaldo n. 17</t>
  </si>
  <si>
    <t>AUDITORIUM "FALCONE E BORSELLINO" CASSINA ANNA
Via Sant'Arnaldo n. 17</t>
  </si>
  <si>
    <t>LOCALE RUSTICO - CASSINA ANNA 
Via Sant'Arnaldo n. 17</t>
  </si>
  <si>
    <t>PALESTRINA - CASSINA ANNA 
Via Sant'Arnaldo n. 17</t>
  </si>
  <si>
    <t>AUDITORIUM "TERESA SARTI STRADA"
Viale Cà Granda n. 19</t>
  </si>
  <si>
    <t>Cassina Anna  
Via Sant'Arnaldo n. 17</t>
  </si>
  <si>
    <t>Via Cosenz</t>
  </si>
  <si>
    <t>Via Cascina dei Prati</t>
  </si>
  <si>
    <t>IMPIANTO SPORTIVO
 Via G. Pasta, 43</t>
  </si>
  <si>
    <t>PROGETTO ATS CAPOFILA  A&amp;I
Viale Affori n. 21</t>
  </si>
  <si>
    <t>UNIVERSITÁ STATALE DI MILANO
Sede Bicocca</t>
  </si>
  <si>
    <r>
      <rPr>
        <b/>
        <sz val="12"/>
        <color rgb="FF000000"/>
        <rFont val="Calibri"/>
        <family val="2"/>
        <charset val="1"/>
      </rPr>
      <t xml:space="preserve">TOTALE GENERALE
</t>
    </r>
    <r>
      <rPr>
        <sz val="11"/>
        <color theme="1"/>
        <rFont val="Calibri"/>
        <family val="2"/>
        <scheme val="minor"/>
      </rPr>
      <t>importo comprensivo di I.V.A. ai sensi di legge</t>
    </r>
  </si>
  <si>
    <t>Municipio 9</t>
  </si>
  <si>
    <t>Dr.ssa  Giuseppina Pedata</t>
  </si>
  <si>
    <r>
      <t xml:space="preserve">totale canoni percepiti da </t>
    </r>
    <r>
      <rPr>
        <b/>
        <i/>
        <sz val="12"/>
        <rFont val="Calibri"/>
        <family val="2"/>
        <charset val="1"/>
      </rPr>
      <t>gennaio 2023</t>
    </r>
  </si>
  <si>
    <t>totale tariffe orarie e 
canoni annui pattuiti</t>
  </si>
  <si>
    <r>
      <t xml:space="preserve">TOTALE GENERALE 9 MUNICIPI
</t>
    </r>
    <r>
      <rPr>
        <sz val="14"/>
        <color theme="1"/>
        <rFont val="Calibri"/>
        <family val="2"/>
        <charset val="1"/>
        <scheme val="minor"/>
      </rPr>
      <t>importo comprensivo di I.V.A. ai sensi di legge</t>
    </r>
  </si>
  <si>
    <t>pagamento anni 2022 e 2023 con rivalutazione Istat</t>
  </si>
  <si>
    <t>MUNICIPIO 1</t>
  </si>
  <si>
    <t>Istituto Comprensivo A. Diaz 
P.zza C. Massaia, 2 - aula</t>
  </si>
  <si>
    <t>Istituto Comprensivo A. Diaz 
P.zza C. Massaia, 2 - aula 50%</t>
  </si>
  <si>
    <t>Istituto Comprensivo A. Diaz 
P.zza C. Massaia, 2 - palestra 67 mq</t>
  </si>
  <si>
    <t>Istituto Comprensivo A. Diaz 
P.zza C. Massaia, 2 - palestra 67 mq 50%</t>
  </si>
  <si>
    <t>Istituto Comprensivo A. Diaz 
P.zza C. Massaia, 2 - palestra 199 mq</t>
  </si>
  <si>
    <t>Istituto Comprensivo A. Diaz 
P.zza C. Massaia, 2 - palestra 199 mq 50%</t>
  </si>
  <si>
    <t xml:space="preserve">Istituto Comprensivo A. Diaz - aula
Via S. Orsola, 15 </t>
  </si>
  <si>
    <t>Istituto Comprensivo A. Diaz 
Via S. Orsola, 15 - aula 50%</t>
  </si>
  <si>
    <t>Istituto Comprensivo A. Diaz 
Via S. Orsola, 15 - palestra 185 mq</t>
  </si>
  <si>
    <t>Istituto Comprensivo A. Diaz 
Via S. Orsola, 15 - palestra 185 mq 50%</t>
  </si>
  <si>
    <t>Istituto Comprensivo A. Diaz 
Via S. Orsola, 15 - palestra 311 mq</t>
  </si>
  <si>
    <t>Istituto Comprensivo A. Diaz 
Via S. Orsola, 15 - palestra 311 mq 50%</t>
  </si>
  <si>
    <t>Istituto Comprensivo A. Diaz 
Via Crocefisso, 15 - aula</t>
  </si>
  <si>
    <t>Istituto Comprensivo A. Diaz 
Via Crocefisso, 15 - aula 50%</t>
  </si>
  <si>
    <t>Istituto Comprensivo A. Diaz 
Via Crocefisso, 15 - palestra mq 164</t>
  </si>
  <si>
    <t>Istituto Comprensivo A. Diaz 
Via Crocefisso, 15 - palestra mq 164 50%</t>
  </si>
  <si>
    <t>Istituto Comprensivo A. Diaz 
Via Crocefisso, 15 - palestra PT mq 164</t>
  </si>
  <si>
    <t>Istituto Comprensivo A. Diaz 
Via Crocefisso, 15 - palestra PT mq 164 50%</t>
  </si>
  <si>
    <t>Istituto Comprensivo Cuoco-Sassi 
Via Corridoni, 34/36 - aula</t>
  </si>
  <si>
    <t>Istituto Comprensivo Cuoco-Sassi 
Via Corridoni, 34/36 - aula 50%</t>
  </si>
  <si>
    <t>Istituto Comprensivo Pascoli 
Via Ruffini, 4/6 - aula</t>
  </si>
  <si>
    <t>Istituto Comprensivo Pascoli 
Via Ruffini, 4/6 - aula 50%</t>
  </si>
  <si>
    <t>Istituto Comprensivo Pascoli 
Via Ruffini, 4/6 - palestra PT mq 200</t>
  </si>
  <si>
    <t>Istituto Comprensivo Pascoli 
Via Ruffini, 4/6 - palestra PT mq 200 50%</t>
  </si>
  <si>
    <t>Istituto Comprensivo Pascoli 
Via Ruffini, 4/6 - palestra PP mq 195</t>
  </si>
  <si>
    <t>Istituto Comprensivo Pascoli 
Via Ruffini, 4/6 - palestra PP mq 195 50%</t>
  </si>
  <si>
    <t>Istituto Comprensivo Giusti-Assisi 
Via Giusti, 15 - aula</t>
  </si>
  <si>
    <t>Istituto Comprensivo Giusti-Assisi 
Via Giusti, 15 - aula 50%</t>
  </si>
  <si>
    <t>Istituto Comprensivo Giusti-Assisi 
Via Palermo, 7/9 - aula</t>
  </si>
  <si>
    <t>Istituto Comprensivo Giusti-Assisi 
Via Palermo, 7/9 - aula 50%</t>
  </si>
  <si>
    <t>Istituto Comprensivo Giusti-Assisi 
Via Palermo, 7/9 - palestra mq 232</t>
  </si>
  <si>
    <t>Istituto Comprensivo Giusti-Assisi 
Via Palermo, 7/9 - palestra mq 232 50%</t>
  </si>
  <si>
    <t>Istituto Comprensivo Commenda 
Via della Commenda, 22/a - aula</t>
  </si>
  <si>
    <t>Istituto Comprensivo Commenda 
Via della Commenda, 22/a - aula 50%</t>
  </si>
  <si>
    <t>Istituto Comprensivo Commenda 
Via della Commenda, 22/a - palestra mq 131</t>
  </si>
  <si>
    <t>Istituto Comprensivo Commenda 
Via della Commenda, 22/a - palestra mq 131 50%</t>
  </si>
  <si>
    <t>Istituto Comprensivo Commenda 
Corso di Porta Romana, 112 - aula</t>
  </si>
  <si>
    <t>Istituto Comprensivo Commenda 
Corso di Porta Romana, 112 - aula 50%</t>
  </si>
  <si>
    <t>Istituto Comprensivo Commenda 
Corso di Porta Romana, 112 - palestra mq 248</t>
  </si>
  <si>
    <t>Istituto Comprensivo Commenda 
Corso di Porta Romana, 112 - palestra mq 248 50%</t>
  </si>
  <si>
    <t>Istituto Comprensivo Commenda 
Via Quadronno, 32 - aula</t>
  </si>
  <si>
    <t>Istituto Comprensivo Commenda 
Via Quadronno, 32 - aula 50%</t>
  </si>
  <si>
    <t>Istituto Comprensivo Commenda 
Via Quadronno, 32 - palestra mq 202</t>
  </si>
  <si>
    <t>Istituto Comprensivo Commenda 
Via Quadronno, 32 - palestra mq 202 50%</t>
  </si>
  <si>
    <t>Istituto Comprensivo Cavalieri 
Via Ariberto, 14 - aula</t>
  </si>
  <si>
    <t>Istituto Comprensivo Cavalieri 
Via Ariberto, 14 - aula 50%</t>
  </si>
  <si>
    <t>Istituto Comprensivo Cavalieri 
Via Ariberto, 14 - palestra mq 137</t>
  </si>
  <si>
    <t>Istituto Comprensivo Cavalieri 
Via Ariberto, 14 - palestra mq 137 50%</t>
  </si>
  <si>
    <t>Istituto Comprensivo Cavalieri 
Via Anco Marzio, 9 - aula</t>
  </si>
  <si>
    <t>Istituto Comprensivo Cavalieri 
Via Anco Marzio, 9 - aula 50%</t>
  </si>
  <si>
    <t>Istituto Comprensivo Cavalieri 
Via Anco Marzio, 9 - palestra mq 253</t>
  </si>
  <si>
    <t>Istituto Comprensivo Cavalieri 
Via Anco Marzio, 9 - palestra mq 253 50%</t>
  </si>
  <si>
    <t>Istituto Comprensivo Milano-Spiga
Bastioni di Porta Nuova, 4 - aula</t>
  </si>
  <si>
    <t>Istituto Comprensivo Milano-Spiga
Bastioni di Porta Nuova, 4 - aula 50%</t>
  </si>
  <si>
    <t>Istituto Comprensivo Milano-Spiga
Bastioni di Porta Nuova, 4 - palestra 275 mq</t>
  </si>
  <si>
    <t>Istituto Comprensivo Milano-Spiga
Bastioni di Porta Nuova, 4 - palestra 275 mq 50%</t>
  </si>
  <si>
    <t>Istituto Comprensivo Milano-Spiga
Via della Spiga, 29 - aula</t>
  </si>
  <si>
    <t>Istituto Comprensivo Milano-Spiga
Via della Spiga, 29 - aula 50%</t>
  </si>
  <si>
    <t>Istituto Comprensivo Milano-Spiga
Via della Spiga, 29 - palestra mq 143</t>
  </si>
  <si>
    <t>Istituto Comprensivo Milano-Spiga
Via della Spiga, 29 - palestra mq 143 50%</t>
  </si>
  <si>
    <t>Istituto Comprensivo Milano-Spiga
Via Solferino, 52 - aula</t>
  </si>
  <si>
    <t>Istituto Comprensivo Milano-Spiga
Via Solferino, 52 - aula 50%</t>
  </si>
  <si>
    <t>Istituto Comprensivo Milano-Spiga
Via Solferino, 52 - palestra mq 143</t>
  </si>
  <si>
    <t>Istituto Comprensivo Milano-Spiga
Via Solferino, 52 - palestra mq 143 50%</t>
  </si>
  <si>
    <t>Istituto Comprensivo Milano-Spiga
Via Santo Spirito, 21 - aula</t>
  </si>
  <si>
    <t>Istituto Comprensivo Milano-Spiga
Via Santo Spirito, 21 - aula 50%</t>
  </si>
  <si>
    <t>Istituto Comprensivo Milano-Spiga
Via Santo Spirito, 21 - palestra mq 198</t>
  </si>
  <si>
    <t>Istituto Comprensivo Milano-Spiga
Via Santo Spirito, 21 - palestra mq 198 50%</t>
  </si>
  <si>
    <t>C.A.M. GABELLE
Via San Marco, 45</t>
  </si>
  <si>
    <t>Salone Atrio</t>
  </si>
  <si>
    <t>tariffa minima fino a 4 ore + € 0,99 per ogni ora in più + costo pulizie orarie € 6,70</t>
  </si>
  <si>
    <t>tariffa massima fino a 4 ore + € 3,70 per ogni ora in più + costo pulizie orarie € 6,70</t>
  </si>
  <si>
    <t>Sala Pianoforte</t>
  </si>
  <si>
    <t>tariffa minima fino a 4 ore + € 0,87 per ogni ora in più + costo pulizie orarie € 3,40</t>
  </si>
  <si>
    <t>tariffa massima fino a 4 ore + € 2,50 per ogni ora in più + costo pulizie orarie € 3,40</t>
  </si>
  <si>
    <t>Giocoteca</t>
  </si>
  <si>
    <t>Palestra</t>
  </si>
  <si>
    <t>C.A.M. SCALDASOLE
Via Scaldadole 3/A</t>
  </si>
  <si>
    <t>Salone</t>
  </si>
  <si>
    <t>Saletta</t>
  </si>
  <si>
    <t>C.A.M. ROMANA/
VIGENTINA
Corso di Porta Vigentina 15/A</t>
  </si>
  <si>
    <t>Sala A</t>
  </si>
  <si>
    <t>Sala B</t>
  </si>
  <si>
    <t>tariffa minima fino a 4 ore + € 1,20 per ogni ora in più + costo pulizie orarie € 10,00</t>
  </si>
  <si>
    <t>tariffa massima fino a 4 ore + € 5,00 per ogni ora in più + costo pulizie orarie € 10,00</t>
  </si>
  <si>
    <t>C.A.M. GARIBALDI
Corso Garibaldi, 27</t>
  </si>
  <si>
    <t>Ludoteca</t>
  </si>
  <si>
    <t>Salone Piano Terra</t>
  </si>
  <si>
    <t>Salone 2° piano</t>
  </si>
  <si>
    <t xml:space="preserve"> ATS Casa degli Artisti - Via T. da Cazzaniga/ C.so Garibaldi</t>
  </si>
  <si>
    <t>Yoga Sangha - C.so Porta Romana 116/B</t>
  </si>
  <si>
    <t>Effettuata rivalutazione annuale ISTATsul canone annuo</t>
  </si>
  <si>
    <t>Cascina Nascosta - Viale Alemagna</t>
  </si>
  <si>
    <t>Mediolanum Tennis Squash Via Vincenzo Monti, 57 A/8</t>
  </si>
  <si>
    <t>Per la Responsabile Unità Coordinamento</t>
  </si>
  <si>
    <t>Municipio 1</t>
  </si>
  <si>
    <t>*Dr.ssa Vincenza Ciraolo</t>
  </si>
  <si>
    <t>Istituto Comprensivo Cuoco-Sassi (primaria) 
Via Corridoni, 34/36 - palestra PT mq 169</t>
  </si>
  <si>
    <t>Istituto Comprensivo Cuoco-Sassi (primaria) 
Via Corridoni, 34/36 - palestra PT mq 169 50%</t>
  </si>
  <si>
    <t>Istituto Comprensivo Cuoco-Sassi (secondaria) 
Via Corridoni, 34/36 - palestra Pint. mq 169</t>
  </si>
  <si>
    <t>Istituto Comprensivo Cuoco-Sassi (secondaria) 
Via Corridoni, 34/36 - palestra PInt. mq 169 50%</t>
  </si>
  <si>
    <t>Istituto Comprensivo Giusti-Assisi (primaria) 
Via Giusti, 15 - mq 260</t>
  </si>
  <si>
    <t>Istituto Comprensivo Giusti-Assisi (primaria) 
Via Giusti, 15 - mq 260 50%</t>
  </si>
  <si>
    <t>Istituto Comprensivo Giusti-Assisi (secondaria) 
Via Giusti, 15/A - aula</t>
  </si>
  <si>
    <t>Istituto Comprensivo Giusti-Assisi (secondaria) 
Via Giusti, 15/A - aula 50%</t>
  </si>
  <si>
    <t>Istituto Comprensivo Giusti-Assisi (secondaria) 
Via Giusti, 15/A - palestra mq 260</t>
  </si>
  <si>
    <t>Istituto Comprensivo Giusti-Assisi (secondaria) 
Via Giusti, 15/A - palestra mq 260 50%</t>
  </si>
  <si>
    <t>Milano, 5 gennaio 2024</t>
  </si>
  <si>
    <t>DIREZIONE SERVIZI CIVICI E  MUNICIPI</t>
  </si>
  <si>
    <t xml:space="preserve">INTROITI PER CONCESSIONI DI LOCALI SCOLASTICI, SPAZI MULTIUSO, IMMOBILI E AREE - PERIODO: GENNAIO - DICEMBRE 2023 </t>
  </si>
  <si>
    <t xml:space="preserve"> MUNICIPIO 8</t>
  </si>
  <si>
    <t>concessioni in uso di locali scolastici (per singolo plesso)</t>
  </si>
  <si>
    <t>PISCINA Scuola primaria via C. da Castello, 10</t>
  </si>
  <si>
    <t>PALESTRA Scuola primaria via Cilea, 12</t>
  </si>
  <si>
    <t>PALESTRA Via Cittadini, 9</t>
  </si>
  <si>
    <t>AULA via Console Marcello, 9</t>
  </si>
  <si>
    <t>PALESTRA Scuola primaria via Delle Ande, 4</t>
  </si>
  <si>
    <t>PALESTRA Scuola primaria via Gattamelata, 35</t>
  </si>
  <si>
    <t>AULE Scuola primaria via Gattamelata, 35</t>
  </si>
  <si>
    <t>PALESTRA Scuola primaria via Graf, 70</t>
  </si>
  <si>
    <t>PALESTRINA Scuola primaria via Graf, 70</t>
  </si>
  <si>
    <t>ATRIO Scuola primaria via Graf, 70</t>
  </si>
  <si>
    <t>PALESTRA Scuola primaria via Mac Mahon, 100</t>
  </si>
  <si>
    <t>AULE Scuola primaria via Mantegna, 10</t>
  </si>
  <si>
    <t>PALESTRA Scuola primaria via Mantegna, 10</t>
  </si>
  <si>
    <t>PALESTRA Scuola primaria via Moscati, 1</t>
  </si>
  <si>
    <t>AULA Scuola primaria via Moscati, 1</t>
  </si>
  <si>
    <t>PALESTRA via Pareto, 26</t>
  </si>
  <si>
    <t>AULA via Pareto, 26</t>
  </si>
  <si>
    <t>PALESTRA S.M.Nascente</t>
  </si>
  <si>
    <t>AULA S.M.Nascente</t>
  </si>
  <si>
    <t>PALESTRA via Val Lagarina, 44</t>
  </si>
  <si>
    <t>PALESTRA Scuola primaria via Visconti, 16</t>
  </si>
  <si>
    <t>Scuola primaria via Viscontini, 7</t>
  </si>
  <si>
    <t>Scuola Sec. di 1° grado via Borsa, 26</t>
  </si>
  <si>
    <t>PALESTRINA Scuola Sec. di 1° grado via C. da Castello, 9</t>
  </si>
  <si>
    <t>PALESTRA Scuola Sec. di 1° grado via C. da Castello, 9</t>
  </si>
  <si>
    <t>AULA Scuola Sec. di 1° grado via C. da Castello, 9</t>
  </si>
  <si>
    <t>SPAZIO TEATRO Scuola Sec. di 1° grado via C. da Castello, 9</t>
  </si>
  <si>
    <t>Scuola Sec. di 1° grado via Graf, 74</t>
  </si>
  <si>
    <t>Scuola Sec. di 1° grado via Linneo, 2</t>
  </si>
  <si>
    <t>Scuola Sec. di 1° grado via Ojetti, 13</t>
  </si>
  <si>
    <t>PALESTRA Scuola Sec. di 1° grado via P. Uccello, 1/A</t>
  </si>
  <si>
    <t>PALESTRA Scuola Sec. di 1° grado via Quarenghi, 14</t>
  </si>
  <si>
    <t>AULA ARTISTICA Scuola Sec. di 1° grado via Quarenghi, 14</t>
  </si>
  <si>
    <t>Auditorium via Quarenghi, 21</t>
  </si>
  <si>
    <t>l'importo si riferisce fino a 4 ore - € 134,00 oltre le 4 ore</t>
  </si>
  <si>
    <t>Atrio sala consiliare via Quarenghi, 21</t>
  </si>
  <si>
    <t>l'importo si riferisce fino a 4 ore - ogni ora in più € 3,70</t>
  </si>
  <si>
    <t>CAM Lessona via Lessona, 20</t>
  </si>
  <si>
    <t>l'importo si riferisce fino a 4 ore - ogni ora in più € 1,20</t>
  </si>
  <si>
    <t>CAM Lampugnano via Lampugnano, 145</t>
  </si>
  <si>
    <t>l'importo si riferisce fino a 4 ore - ogni ora in più € 5,00</t>
  </si>
  <si>
    <t>CAM Pecetta via della Pecetta, 29</t>
  </si>
  <si>
    <t>CAM Jacopino via J. Da Tradate, 9</t>
  </si>
  <si>
    <t>Fondazione Perini - via Aldini 72</t>
  </si>
  <si>
    <t>CGIL - Pagoda piazza Gramsci</t>
  </si>
  <si>
    <t>Fondazione Terre des Hommes Italia Onlus - via Appennini 50</t>
  </si>
  <si>
    <t>via Aldini</t>
  </si>
  <si>
    <t>Via Lampugnano</t>
  </si>
  <si>
    <r>
      <rPr>
        <b/>
        <sz val="12"/>
        <color theme="1"/>
        <rFont val="Calibri"/>
        <family val="2"/>
        <scheme val="minor"/>
      </rPr>
      <t>TOTALE GENERALE</t>
    </r>
    <r>
      <rPr>
        <b/>
        <sz val="11"/>
        <color theme="1"/>
        <rFont val="Calibri"/>
        <family val="2"/>
        <scheme val="minor"/>
      </rPr>
      <t xml:space="preserve">
</t>
    </r>
    <r>
      <rPr>
        <sz val="11"/>
        <color theme="1"/>
        <rFont val="Calibri"/>
        <family val="2"/>
        <scheme val="minor"/>
      </rPr>
      <t>importo comprensivo di I.V.A. ai sensi di legge</t>
    </r>
  </si>
  <si>
    <t>MUNICIPIO 5</t>
  </si>
  <si>
    <t>ICS Elsa Morante - Via Antonini 50 - Scuola primaria Damiano Chiesa 
palestra di mq 165 
aula di 50 mq</t>
  </si>
  <si>
    <t>ICS Elsa Morante - Via dei Bognetti 15 
Scuola primaria 
palestra grande mq 374 
palestra piccola mq 280
aula mq 34
aula mq 17</t>
  </si>
  <si>
    <t>ICS Elsa Morante - Via Heine 2 
Scuola Secondaria 
palestra grande mq 436
palestra piccola mq 215</t>
  </si>
  <si>
    <t>ICS  ARCADIA - Via dell'Arcadia 22 
scuola primaria Arcadia 
palestra mq 814 
aula psicomotricità mq 55</t>
  </si>
  <si>
    <t>ICS ARCADIA - Via dell'Arcadia 24 
scuola secondaria Arcadia 
palestra mq 848</t>
  </si>
  <si>
    <t>ICS ARCADIA - Via Baroni 73 (saponaro 36) 
scuola primaria Baroni 
palestra mq 260</t>
  </si>
  <si>
    <t>ICS ARCADIA Via Feraboli 44 
scuola Primaria Feraboli 
palestra grande mq 306
aula psicomotricità mq 54 
palestra piccola mq 173</t>
  </si>
  <si>
    <t>ICS BAROZZI Via Bocconi 17 
scuola primaria Barozzi 
palestra mq 264
aula sostegno mq 32</t>
  </si>
  <si>
    <t>ICS BAROZZI Via G. Romano 2 
scuola primaria Giulio Romano 
palestra mq 186
aula pittura mq 11,5</t>
  </si>
  <si>
    <t>ICS BAROZZI Via Vittadini 10 
Scuola Confalonieri 
palestra mq 290
aula musica mq 52</t>
  </si>
  <si>
    <t>ICS BAROZZI Via Giambologna 30 
scuola dell'infanzia Giambologna 
salone mq 238</t>
  </si>
  <si>
    <t>ICS F. FILZI Via dei Guarneri 21 
scuola media Toscanini 
palestra mq 615</t>
  </si>
  <si>
    <t>ICS F. FILZI Via Wolf Ferrari 6 
Scuola primaria 
palestra mq 252 
aula giochi serali mq 46</t>
  </si>
  <si>
    <t>IC CAPPONI Via Pescarenico 6 
Elementare "MORO" 
palestra mq 242 
aula psicomotricità mq 44
aula teatro mq 60</t>
  </si>
  <si>
    <t>IC CAPPONI  Via Pescarenico 2 
SCUOLA MEDIA "GEMELLI" 
palestra mq 272
palestrina mq 107</t>
  </si>
  <si>
    <t>IC PALMIERI Via Palmieri 24 
scuola primaria C. Battisti
palestra mq 180
aula mq 51</t>
  </si>
  <si>
    <t xml:space="preserve">IC PALMIERI Via S. Giacomo 1 
scuola primaria C. Peroni 
palestrina psicomotricità mq 42
aula scacchi mq 40
palestra mq 250 </t>
  </si>
  <si>
    <t>IC PALMIERI Via Boifava 52 
scuola secondaria 
S. Pertini 
palestra mq 263</t>
  </si>
  <si>
    <t>IC THOUAR GONZAGA Via Gentilino 14  
scuola primaria 
palestra mq 235 
n. 2 aule mq 63</t>
  </si>
  <si>
    <t xml:space="preserve">IC THOUAR GONZAGA Via Brunacci 2/4 
scuola primaria 
palestra mq 176 </t>
  </si>
  <si>
    <t>IC THOUAR GONZAGAVia Tabacchi 15/A 
scuola secondaria di I grado 
palestra mq 235</t>
  </si>
  <si>
    <t>salone C.A.M. via Palmieri 18/20</t>
  </si>
  <si>
    <t>la tariffa è fissata, per atto interno, fino ad un massimo di 4 ore. Per slot aggiuntivi vi sono tariffe variabili</t>
  </si>
  <si>
    <t>C.A.M. viale Tibaldi 41</t>
  </si>
  <si>
    <t>Spazio Multiuso via Baroni 85</t>
  </si>
  <si>
    <t>salone C.A.M. via Saponaro 30</t>
  </si>
  <si>
    <t>Via San Bernardo 17</t>
  </si>
  <si>
    <t>Via Campazzino</t>
  </si>
  <si>
    <t>Via Teresa Noce</t>
  </si>
  <si>
    <t>Via Bottoni</t>
  </si>
  <si>
    <t>Via Selvanesco</t>
  </si>
  <si>
    <t>Via Vaiano Valle</t>
  </si>
  <si>
    <r>
      <t xml:space="preserve">TOTALE GENERALE
</t>
    </r>
    <r>
      <rPr>
        <sz val="10"/>
        <color theme="1"/>
        <rFont val="Calibri"/>
        <family val="2"/>
        <scheme val="minor"/>
      </rPr>
      <t>importo comprensivo di I.V.A. ai sensi di legge</t>
    </r>
  </si>
  <si>
    <t xml:space="preserve"> MUNICIPIO 6</t>
  </si>
  <si>
    <t>Scuola Primaria via Anemoni, 8 
Tariffa canone palestra</t>
  </si>
  <si>
    <t>Scuola Primaria via Anemoni, 8
 Tariffa canone aula</t>
  </si>
  <si>
    <t>Scuola Secondaria via Anemoni, 10 tariffa canone palestra</t>
  </si>
  <si>
    <t>Scuola Secondaria via Anemoni, 10 tariffa canone aula</t>
  </si>
  <si>
    <t>Scuola Primaria via dei Narcisi, 2
 Tariffa canone palestra</t>
  </si>
  <si>
    <t>Scuola Primaria via dei Narcisi, 2
 Tariffa canone aula</t>
  </si>
  <si>
    <t>Scuola Primaria via dei Narcisi, 2
 Tariffa canone giardino</t>
  </si>
  <si>
    <t>Scuola Primaria via Pisa 1
 Tariffa canone palestra</t>
  </si>
  <si>
    <t>Scuola Primaria via Pisa 1
 Tariffa canone aula</t>
  </si>
  <si>
    <t>Scuola Primaria via Bergognone, 2/4 tariffa canone palestra</t>
  </si>
  <si>
    <t>Scuola Primaria via Bergognone, 2/4 tariffa canone aula</t>
  </si>
  <si>
    <t>Scuola Primaria via delle Foppette, 1 tariffa canone palestra</t>
  </si>
  <si>
    <t>Scuola Primaria via delle Foppette, 1 tariffa canone aula</t>
  </si>
  <si>
    <t>Scuola Primaria via delle Foppette, 1 tariffa canone aula magna</t>
  </si>
  <si>
    <t>Scuola Primaria via delle Foppette, 1 tariffa canone giardino</t>
  </si>
  <si>
    <t>Scuola Secondaria via De Nicola, 40 tariffa canone palestra</t>
  </si>
  <si>
    <t>Scuola Secondaria via De Nicola, 40 tariffa canone aula</t>
  </si>
  <si>
    <t>Scuola Primaria via De Nicola, 2
 Tariffa canone palestra</t>
  </si>
  <si>
    <t>Scuola Primaria via De Nicola, 2 
Tariffa canone aula</t>
  </si>
  <si>
    <t>Scuola Primaria via Tosi, 21 
Tariffa canone palestra</t>
  </si>
  <si>
    <t>Scuola Primaria via Tosi, 21 tariffa canone aula</t>
  </si>
  <si>
    <t>Scuola Primaria via Pestalozzi, 13
 Tariffa canone palestra</t>
  </si>
  <si>
    <t>Scuola Primaria via Pestalozzi, 13
 Tariffa canone aula</t>
  </si>
  <si>
    <t>Scuola Secondaria via R. Carriera, 12 tariffa canone palestra</t>
  </si>
  <si>
    <t>Scuola Secondaria via R. Carriera, 12 
Tariffa canone aula</t>
  </si>
  <si>
    <t>Scuola Primaria via Vespri Siciliani 75 tariffa canone palestra</t>
  </si>
  <si>
    <t>Scuola Primaria via Vespri Siciliani 75 tariffa canone aula</t>
  </si>
  <si>
    <t>Scuola Primaria via Salerno, 3
 Tariffa canone palestra</t>
  </si>
  <si>
    <t>Scuola Primaria via Salerno, 3 
Tariffa canone aula</t>
  </si>
  <si>
    <t>Scuola Secondaria via Salerno, 1 
Tariffa canone palestra</t>
  </si>
  <si>
    <t>Scuola Secondaria via Salerno, 1 
Tariffa canone aula</t>
  </si>
  <si>
    <t>Scuola Secondaria via San Colombano 8 tariffa canone palestra</t>
  </si>
  <si>
    <t>Scuola Secondaria via San Colombano 8 tariffa canone aula</t>
  </si>
  <si>
    <t>Scuola Primaria via Crivelli, 3 
Tariffa canone palestra</t>
  </si>
  <si>
    <t>Scuola Primaria via Crivelli, 3 
Tariffa canone aula</t>
  </si>
  <si>
    <t>Scuola Secondaria  via Crivelli, 3 
Tariffa canone palestra</t>
  </si>
  <si>
    <t>Scuola Secondaria  via Crivelli, 3
 Tariffa canone aula</t>
  </si>
  <si>
    <t>Scuola Secondaria via Scrosati, 4
 Tariffa canone palestra</t>
  </si>
  <si>
    <t>Scuola Secondaria via Scrosati, 4 
Tariffa canone aula</t>
  </si>
  <si>
    <t>Scuola Primaria via Scrosati, 3 
Tariffa canone palestra</t>
  </si>
  <si>
    <t>Scuola Primaria via Scrosati, 3
 Tariffa canone aula</t>
  </si>
  <si>
    <t>Scuola Primaria via Vigevano, 19
 Tariffa canone palestra</t>
  </si>
  <si>
    <t>Scuola Primaria via Vigevano, 19
 Tariffa canone aula</t>
  </si>
  <si>
    <t>Scuola Secondaria via Zuara, 7
 Tariffa canone palestra</t>
  </si>
  <si>
    <t>Scuola Secondaria via Zuara, 7 
Tariffa canone aula</t>
  </si>
  <si>
    <t>Scuola Primaria via Zuara, 9
 Tariffa canone palestra</t>
  </si>
  <si>
    <t>Scuola Primaria via Zuara, 9 
Tariffa canone aula</t>
  </si>
  <si>
    <t>Scuola Primaria via Zuara, 9
 Tariffa canone giardino</t>
  </si>
  <si>
    <t>si specifica che il numero delle concessioni rilasciate  è inferiore a questo  numero di contratti gestiti  in quanto le concessioni  vengono rilasciate per Istituto comprensivo e non per singolo plesso</t>
  </si>
  <si>
    <t>ex Fornace tariffa gratuita
Alzaia Naviglio Pavese 16 - piano T</t>
  </si>
  <si>
    <t>ex Fornace tariffa minima
Alzaia Naviglio Pavese 16 - piano T</t>
  </si>
  <si>
    <t>per le prime 4 ore € 6,20;  la domenica e i festivi  si paga doppia tariffa; dopo le 22:00 viene applicata la tariffa notturna=festiva</t>
  </si>
  <si>
    <t>ex Fornace tariffa massima
Alzaia Naviglio Pavese 16 - piano T</t>
  </si>
  <si>
    <t>per le prime 4 ore € 37,18;  la domenica e i festivi  si paga doppia tariffa; dopo le 22:00 viene applicata la tariffa notturna=festiva</t>
  </si>
  <si>
    <t>C.A.M.SAN PAOLINO  tariffa gratuita   via San Paolino  n. 18</t>
  </si>
  <si>
    <t>C.A.M.SAN PAOLINO  tariffa minima  via San Paolino  n. 18</t>
  </si>
  <si>
    <t>C.A.M. SAN PAOLINO tariffa massima via San Paolino n. 18</t>
  </si>
  <si>
    <t>C.A.M. Rudinì tariffa gratuita via Di Rudinì n. 14</t>
  </si>
  <si>
    <t>C.A.M. Rudinì tariffa minima via Di Rudinì n. 14</t>
  </si>
  <si>
    <t>C.A.M. Rudinì tariffa massima via Di Rudinì n. 14</t>
  </si>
  <si>
    <t>SALA CONSILIARE RENZO ORNELLA</t>
  </si>
  <si>
    <t>Seicentro Sala Arianna tariffa gratuita
Via Savona 99</t>
  </si>
  <si>
    <t>Seicentro sala Arianna tariffa minima
Via Savona 99</t>
  </si>
  <si>
    <t>per le prime 4 ore € 4,96;  per la giornata intera € 24,76</t>
  </si>
  <si>
    <t>Seicentro sala Arianna tariffa piena
Via Savona 99</t>
  </si>
  <si>
    <t>per le prime 4 ore € 24,76;  per la giornata intera € 99,19</t>
  </si>
  <si>
    <t>Seicentro sala Arianna tariffa di mercato
Via Savona 99</t>
  </si>
  <si>
    <t>per le prime 4 ore € 65,37;  per la giornata intera € 297,57</t>
  </si>
  <si>
    <t>Seicentro Sala Calliope  tariffa grauita
Via Savona 99</t>
  </si>
  <si>
    <t>Seicentro sala Calliope tariffa minima
Via Savona 99</t>
  </si>
  <si>
    <t>per le prime 4 ore € 3,72;  per la giornata intera € 17,32</t>
  </si>
  <si>
    <t>Seicentro sala Calliope tariffa piena
Via Savona 99</t>
  </si>
  <si>
    <t>per le prime 4 ore € 18,60;  per la giornata intera € 68,20</t>
  </si>
  <si>
    <t>Seicentro sala Calliope  tariffa di mercato
Via Savona 99</t>
  </si>
  <si>
    <t>per le prime 4 ore € 55,80;  per la giornata intera € 204,60</t>
  </si>
  <si>
    <t>Seicentro sala Teseo  tariffa  gratuita
Via Savona 99</t>
  </si>
  <si>
    <t>Seicentro sala Teseo  tariffa  minima
Via Savona 99</t>
  </si>
  <si>
    <t>Seicentro sala Teseo  tariffa  
piena
Via Savona 99</t>
  </si>
  <si>
    <t>Seicentro sala Teseo  tariffa di mercato
Via Savona 99</t>
  </si>
  <si>
    <t xml:space="preserve">Orti Barona - via De Finetti/via Danusso </t>
  </si>
  <si>
    <t xml:space="preserve">Orti  Fontanili - via Gozzoli/via Parri </t>
  </si>
  <si>
    <t>via Bari 18</t>
  </si>
  <si>
    <t>Gli importi dei canoni per gli anni 2021 e 2022, a causa del COVID sono stati ricalcolati dall'Area Sport che provvederà alla sistemazione contabile della differenza</t>
  </si>
  <si>
    <t>via Soderini 41/2</t>
  </si>
  <si>
    <t>via Parenzo 2/1</t>
  </si>
  <si>
    <t>ex casetta custode all'interno dell'ICS G. Capponi - via Tosi 21</t>
  </si>
  <si>
    <t>Centro Polifunzionale "Angelo Valdameri" TRE CASTELLI, via Martinelli n. 53 - Milano</t>
  </si>
  <si>
    <t>scomputo per iniziative realizzate</t>
  </si>
  <si>
    <t>Spazio Santi - via Santi 8 - Milano</t>
  </si>
  <si>
    <t>per l'anno 2021 a 80% scomputo per opere realizzate e 20%  saldo canone da pagare entro fine 2023, per l'anno 2022 importo canone rivalutato ISTAT  (€ 8.688,99) rateizzato in 3 tranches</t>
  </si>
  <si>
    <t>CENTRO "IPR" (Istituto Pedagogico  della Resistenza)
Via degli Anemoni n. 6 - Milano</t>
  </si>
  <si>
    <t>Casetta Odazio - via Odazio 7 - Milano</t>
  </si>
  <si>
    <t>Edicola Radetzky - Darsena, viale Gorizia - foglio 474/mapp.352 parte-</t>
  </si>
  <si>
    <t>gratuita</t>
  </si>
  <si>
    <t>Spazio Ex Deposito della Biblioteca di via S. Paolino 18- p. terra</t>
  </si>
  <si>
    <t>€. 1.470,00</t>
  </si>
  <si>
    <t>scomputo per opere realizzate, in scadenza al 30/06/23</t>
  </si>
  <si>
    <t>La casa delle artiste - Spazio Alda Merini
via Magolfa 32 (foglio 437- mapp.629, 660 e 628)</t>
  </si>
  <si>
    <t>3 strutture all'interno dell'area a verde attrezzata di via Tobagi 4</t>
  </si>
  <si>
    <t>canone rivalutato, scomputo per iniziative realizzate</t>
  </si>
  <si>
    <t>via Faenza 29</t>
  </si>
  <si>
    <t>Alzaia Naviglio Pavese 16 - 1° piano</t>
  </si>
  <si>
    <t>Il Responsabile Unità Coordinamento</t>
  </si>
  <si>
    <t>Municipio 6</t>
  </si>
  <si>
    <t>Dr. Andrea Zelioli</t>
  </si>
  <si>
    <t>Municipio 5</t>
  </si>
  <si>
    <t>Milano, 9 gennaio 2024</t>
  </si>
  <si>
    <t>Municipio 8</t>
  </si>
  <si>
    <t>*Dr.ssa Paola Pozzi</t>
  </si>
  <si>
    <t>Milano, 2 gennaio 2024</t>
  </si>
  <si>
    <t>Milano, 8 gennaio 2024</t>
  </si>
  <si>
    <t>Direttore</t>
  </si>
  <si>
    <t>*Giovanni Campana</t>
  </si>
  <si>
    <t>MUNICIPIO 4</t>
  </si>
  <si>
    <t>Palestra Scuola Secondaria Via Mondolfo</t>
  </si>
  <si>
    <t>Palestra Scuola Primaria Via Sordello</t>
  </si>
  <si>
    <t xml:space="preserve">Salone Scuola Primaria Via Sordello </t>
  </si>
  <si>
    <t xml:space="preserve">Aula doposcuola Scuola Primaria Via Sordello </t>
  </si>
  <si>
    <t xml:space="preserve">Palestra Scuola Primaria L.go G. Gonzaga </t>
  </si>
  <si>
    <t xml:space="preserve">Aula sostegno Scuola Primaria L.go G. Gonzaga </t>
  </si>
  <si>
    <t>Palestra Scuola Primaria Via U. di Nemi</t>
  </si>
  <si>
    <t>Palestra piano terra Scuola Primaria Via Monte Piana</t>
  </si>
  <si>
    <t xml:space="preserve">Palestra primo piano Scuola Primaria Via Monte Popera </t>
  </si>
  <si>
    <t>Palestra Scuola Secondaria Via Medici del Vascello</t>
  </si>
  <si>
    <t xml:space="preserve">Palestra Scuola Primaria Viale Mugello </t>
  </si>
  <si>
    <t xml:space="preserve">Aula Teatro Scuola Primaria Viale Mugello </t>
  </si>
  <si>
    <t xml:space="preserve">Aula Scuola Primaria Viale Mugello </t>
  </si>
  <si>
    <t>Laboratorio arti n. 91 Scuola Primaria Viale Mugello</t>
  </si>
  <si>
    <t xml:space="preserve">Palestra Scuola Secondaria Via Cipro </t>
  </si>
  <si>
    <t>Aula Psicomotricità Scuola Primaria Via Polesine</t>
  </si>
  <si>
    <t xml:space="preserve">Palestra Scuola Primaria Via Polesine </t>
  </si>
  <si>
    <t xml:space="preserve">Palestra piano terra Scuola Primaria Via Oglio </t>
  </si>
  <si>
    <t>Atrio segreteria  Scuola Primaria Via Oglio</t>
  </si>
  <si>
    <t xml:space="preserve">Aula sostegno piano terra Scuola Primaria Via Oglio </t>
  </si>
  <si>
    <t xml:space="preserve">Palestra Scuola Secondaria Via Mincio </t>
  </si>
  <si>
    <t xml:space="preserve">Palestra  Scuola Primaria Via Monte Velino </t>
  </si>
  <si>
    <t>Auditorium Scuola Secondaria                     Tito Livio</t>
  </si>
  <si>
    <t xml:space="preserve">Palestra Scuola Secondaria Tito Livio </t>
  </si>
  <si>
    <t xml:space="preserve">Palestra piano terra Scuola Primaria Via Colletta </t>
  </si>
  <si>
    <t xml:space="preserve">Palestra primo piano Scuola Primaria Via Colletta </t>
  </si>
  <si>
    <t>Atrio primo piano lato ascensore Scuola Primaria Via Colletta</t>
  </si>
  <si>
    <t>Atrio primo piano lato materna Scuola Primaria Via Colletta</t>
  </si>
  <si>
    <t>Palestra grande Scuola Primaria Via Ravenna</t>
  </si>
  <si>
    <t xml:space="preserve">Palestra primo piano Scuola Primaria Via Morosini </t>
  </si>
  <si>
    <t xml:space="preserve">Palestra piano terra Scuola Primaria Via Morosini </t>
  </si>
  <si>
    <t xml:space="preserve">Laboratorio Psicomomtricità Scuola Primaria Via Morosini </t>
  </si>
  <si>
    <t xml:space="preserve">Salone /Androne Scuola Primaria Via Morosini </t>
  </si>
  <si>
    <t xml:space="preserve">Aula Scuola Primaria Via Morosini </t>
  </si>
  <si>
    <t xml:space="preserve">Aula musica Scuola Primaria Via Morosini </t>
  </si>
  <si>
    <t>Palestra Scuola Secondaria Via Bezzecca</t>
  </si>
  <si>
    <t xml:space="preserve">Auditorium Scuola Secondaria Via Bezzecca </t>
  </si>
  <si>
    <t xml:space="preserve">Aula Scuola Secondaria Via Bezzecca </t>
  </si>
  <si>
    <t>Palestra lato Mezzofanti Scuola Primaria Via Mezzofanti</t>
  </si>
  <si>
    <t xml:space="preserve">Palestra lato Devoto Scuola Primaria Via Mezzofanti </t>
  </si>
  <si>
    <t xml:space="preserve">Palestrina aula musica Scuola Primaria Via Mezzofanti </t>
  </si>
  <si>
    <t xml:space="preserve">Aula LIM n. 28 Scuola Primaria Via Mezzofanti </t>
  </si>
  <si>
    <t>Aula Scuola Primaria Via Mezzofanti</t>
  </si>
  <si>
    <t xml:space="preserve">Palestra Scuola Secondaria Via Dalmazia </t>
  </si>
  <si>
    <t xml:space="preserve">Aula genitori Scuola Secondaria Via Dalmazia </t>
  </si>
  <si>
    <t>Palestra piano rialzato Scuola Secondaria Via de Andreis</t>
  </si>
  <si>
    <t>Palestra piano seminterrato Scuola Secondaria Via de Andreis</t>
  </si>
  <si>
    <t xml:space="preserve">Palestra Scuola Primaria Via Decorati </t>
  </si>
  <si>
    <t>Aula Scuola Primaria Via Decorati</t>
  </si>
  <si>
    <t xml:space="preserve">Palestra Scuola Primaria Via Meleri </t>
  </si>
  <si>
    <t xml:space="preserve">Aula inglese Scuola Primaria Via Meleri </t>
  </si>
  <si>
    <t xml:space="preserve">Aula arti marziali Scuola Primaria Via Meleri </t>
  </si>
  <si>
    <t>Palestra Scuola Secondaria Via Cova</t>
  </si>
  <si>
    <t xml:space="preserve">Palestra Scuola Primaria Via Martinengo </t>
  </si>
  <si>
    <t>Palestra Scuola Secondaria Via Martinengo</t>
  </si>
  <si>
    <t xml:space="preserve">Palestrina Scuola Primaria Via Martinengo </t>
  </si>
  <si>
    <t xml:space="preserve">Palestra Scuola Primaria Viale Puglie </t>
  </si>
  <si>
    <t>Cam Mondolfo</t>
  </si>
  <si>
    <t xml:space="preserve">non si tratta di una tariffa oraria, ma di una tarifa relativa ad un blocco di utilizzo di 4h a cui si aggiunge una tariffa oraria per ogni ora di utilizzo oltre  le prime 4 </t>
  </si>
  <si>
    <t>Chiosco Pizzolpasso</t>
  </si>
  <si>
    <t>Aula del Polo Ferrara</t>
  </si>
  <si>
    <t xml:space="preserve">Sala del CAM Parea </t>
  </si>
  <si>
    <t>Parco Alessandrini</t>
  </si>
  <si>
    <t>Parco G. Cassinis</t>
  </si>
  <si>
    <t xml:space="preserve">Nell'anno 2023 il canone sarà rivalutato secondo l'indice ISTAT </t>
  </si>
  <si>
    <t>Municipio 4</t>
  </si>
  <si>
    <t>*Dr. Tommaso Innocente</t>
  </si>
  <si>
    <t>nessuna concessione</t>
  </si>
  <si>
    <t>comprensivo di canoni 2022 e di una quota 2024</t>
  </si>
  <si>
    <t>comprensivo di quota anticipo 2024</t>
  </si>
  <si>
    <t>rivalutazione ISTAT</t>
  </si>
  <si>
    <t xml:space="preserve">comprensivo di canone anno 2022 e aggiornamento ISTAT
</t>
  </si>
  <si>
    <t>cambi e rinuncie particelle, con nuove assegnazioni</t>
  </si>
  <si>
    <t>La differenza sul canone annuo pattuito è dovuto alla rinuncia di un ortista e alla successiva nuova assegnazione con accavallamento di  due concessioni</t>
  </si>
  <si>
    <t>importo pagato nel 2022 a saldo della concessione triennale con scadenza 31/3/24 per  scomputo opere realizzate</t>
  </si>
  <si>
    <t>sostituiti due ortisti a partire da dicembre</t>
  </si>
  <si>
    <t>MUNICIPIO 7</t>
  </si>
  <si>
    <t>Via Lamennais 20 - palestra</t>
  </si>
  <si>
    <t>Via Lamennais 20 - aule</t>
  </si>
  <si>
    <t>Via Dolci 5 - palestra</t>
  </si>
  <si>
    <t>Via Constant 19 - palestra</t>
  </si>
  <si>
    <t>Via Airaghi 42 - palestra</t>
  </si>
  <si>
    <t>Via San Giusto 65 - palestra</t>
  </si>
  <si>
    <t>Via San Giusto 65 - aula tatami</t>
  </si>
  <si>
    <t>Via San Giusto 65 - aule</t>
  </si>
  <si>
    <t>Via Rasori 19 - palestra</t>
  </si>
  <si>
    <t>Via Rasori 19 - aule</t>
  </si>
  <si>
    <t>Via Mauri 10 - palestra</t>
  </si>
  <si>
    <t>Via Mauri 10 - aule</t>
  </si>
  <si>
    <t>Via Colonna 42 - aule</t>
  </si>
  <si>
    <t>Via Colonna 42 - palestra</t>
  </si>
  <si>
    <t>Via Colonna 42 - palestrina</t>
  </si>
  <si>
    <t>Piazza Sicilia 2 - aula/teatro</t>
  </si>
  <si>
    <t>Piazza Sicilia 2 - palestra Seprio</t>
  </si>
  <si>
    <t>Piazza Sicilia 2 - cortile</t>
  </si>
  <si>
    <t>Piazza Sicilia 2 - palestra Sacco/Sard</t>
  </si>
  <si>
    <t>Via Val D'Intelvi 11 - palestra</t>
  </si>
  <si>
    <t>Via Val D'Intelvi 11 - aula</t>
  </si>
  <si>
    <t>Via Milesi 4 - palestra</t>
  </si>
  <si>
    <t>Via Forze Armate 279 - palestra</t>
  </si>
  <si>
    <t>Via Forze Armate 279 - aule</t>
  </si>
  <si>
    <t>Via Valdagno 8 - aule</t>
  </si>
  <si>
    <t>Via Valdagno 8 - palestra</t>
  </si>
  <si>
    <t>Via Viterbo 31 - palestra</t>
  </si>
  <si>
    <t>Via Don Gnocchi 25 - palestra</t>
  </si>
  <si>
    <t>Piazza Axum 5 - palestra</t>
  </si>
  <si>
    <t>Piazza Axum 5 - aule</t>
  </si>
  <si>
    <t>Via Paravia 83 - aula</t>
  </si>
  <si>
    <t>Via Paravia 83 - giardino esterno</t>
  </si>
  <si>
    <t>Via Delle Betulle 17 - palestra</t>
  </si>
  <si>
    <t>Via Dei Salici 2 - palestra</t>
  </si>
  <si>
    <t>Via Loria 37 - aula</t>
  </si>
  <si>
    <t>Via Loria 37 - palestra grande</t>
  </si>
  <si>
    <t>Via Loria 37 - palestra piccola</t>
  </si>
  <si>
    <t>Via Forze Armate 65 - aula</t>
  </si>
  <si>
    <t>Via Forze Armate 65 - palestra</t>
  </si>
  <si>
    <t>Via Martinetti 25 - palestra grande</t>
  </si>
  <si>
    <t>Via Martinetti 25 - palestra piccola</t>
  </si>
  <si>
    <t>Via Martinetti 25 - aula</t>
  </si>
  <si>
    <t>Via Crimea 22 - palestra</t>
  </si>
  <si>
    <t>Via Crimea 22 - aule</t>
  </si>
  <si>
    <t>Via Muggiano 14 - palestra</t>
  </si>
  <si>
    <t>Via Montebaldo - palestra</t>
  </si>
  <si>
    <t>Via Montebaldo - aule</t>
  </si>
  <si>
    <t>Palestra Manaresi - Via Manaresi snc</t>
  </si>
  <si>
    <t>Cam Forze Armate 318</t>
  </si>
  <si>
    <t>Sala degli Olivetani -
Via A. Da Baggio 55</t>
  </si>
  <si>
    <t>Parco delle Cave</t>
  </si>
  <si>
    <t>Via Mosca</t>
  </si>
  <si>
    <t>comprensivo di conguagli di anni precedenti</t>
  </si>
  <si>
    <t>via Don Gervasini</t>
  </si>
  <si>
    <t>Parco della Cava di Muggiano</t>
  </si>
  <si>
    <t>via Viterbo-Bentivoglio</t>
  </si>
  <si>
    <t>via Castrovillari 14</t>
  </si>
  <si>
    <t>via Molinetto 64</t>
  </si>
  <si>
    <t>concessione decaduta dal 6/2/2023</t>
  </si>
  <si>
    <t>via Viterbo 4</t>
  </si>
  <si>
    <t>corrispondenti ad un anno e mezzo di concessione</t>
  </si>
  <si>
    <t>Cascina Linterno - via F.lli Zoia 194</t>
  </si>
  <si>
    <t>locali c/o CAM Olmi - via delle Betulle 39</t>
  </si>
  <si>
    <t>Municipio 7</t>
  </si>
  <si>
    <t>*Dr.ssa Scilla Amore</t>
  </si>
  <si>
    <t>Milano, 11 gennaio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</si>
</sst>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164" formatCode="0;[Red]0"/>
    <numFmt numFmtId="165" formatCode="&quot;€ &quot;#,##0.00"/>
    <numFmt numFmtId="166" formatCode="[$-410]dd/mm/yyyy"/>
    <numFmt numFmtId="167" formatCode="&quot;€&quot;\ #,##0.00"/>
    <numFmt numFmtId="168" formatCode="[$€-2]\ #,##0.00"/>
    <numFmt numFmtId="169" formatCode="[$€-2]\ #,##0.00;[Red][$€-2]\ #,##0.00"/>
    <numFmt numFmtId="170" formatCode="#,##0.00\ &quot;€&quot;"/>
    <numFmt numFmtId="171" formatCode="[$€-410]\ #,##0.00;[Red]\-[$€-410]\ #,##0.00"/>
    <numFmt numFmtId="172" formatCode="_-* #,##0.00\ [$€-410]_-;\-* #,##0.00\ [$€-410]_-;_-* \-??\ [$€-410]_-;_-@_-"/>
    <numFmt numFmtId="173" formatCode="[$€-2]\ #,##0.00;\-[$€-2]\ #,##0.00"/>
    <numFmt numFmtId="174" formatCode="#,##0_ ;\-#,##0\ "/>
    <numFmt numFmtId="175" formatCode="#,##0;[Red]#,##0"/>
  </numFmts>
  <fonts count="7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6"/>
      <color rgb="FF000000"/>
      <name val="Frutiger"/>
      <charset val="1"/>
    </font>
    <font>
      <b/>
      <sz val="11"/>
      <color rgb="FFFF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4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9"/>
      <color rgb="FF000000"/>
      <name val="Calibri"/>
      <family val="2"/>
      <charset val="1"/>
    </font>
    <font>
      <sz val="11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0"/>
      <color rgb="FFFF0000"/>
      <name val="Calibri"/>
      <family val="2"/>
      <charset val="1"/>
    </font>
    <font>
      <sz val="1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sz val="11"/>
      <name val="Calibri"/>
      <family val="2"/>
      <charset val="1"/>
    </font>
    <font>
      <sz val="12"/>
      <color rgb="FF000000"/>
      <name val="Calibri"/>
      <family val="2"/>
      <charset val="1"/>
    </font>
    <font>
      <b/>
      <sz val="12"/>
      <name val="Calibri"/>
      <family val="2"/>
      <charset val="1"/>
    </font>
    <font>
      <sz val="16"/>
      <color theme="1"/>
      <name val="Frutige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name val="Calibri"/>
      <family val="2"/>
      <scheme val="minor"/>
    </font>
    <font>
      <sz val="11"/>
      <color rgb="FF000000"/>
      <name val="Calibri"/>
      <family val="2"/>
      <charset val="1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1"/>
      <color rgb="FF000000"/>
      <name val="Calibri"/>
      <family val="2"/>
    </font>
    <font>
      <sz val="10"/>
      <name val="Calibri"/>
      <family val="2"/>
    </font>
    <font>
      <b/>
      <sz val="11"/>
      <color rgb="FF000000"/>
      <name val="Calibri"/>
      <family val="2"/>
    </font>
    <font>
      <sz val="9"/>
      <color rgb="FFFF0000"/>
      <name val="Calibri"/>
      <family val="2"/>
      <scheme val="minor"/>
    </font>
    <font>
      <sz val="10"/>
      <color rgb="FF000000"/>
      <name val="Calibri"/>
      <family val="2"/>
      <charset val="1"/>
    </font>
    <font>
      <sz val="12"/>
      <name val="Calibri"/>
      <family val="2"/>
      <charset val="1"/>
    </font>
    <font>
      <b/>
      <i/>
      <sz val="12"/>
      <name val="Calibri"/>
      <family val="2"/>
      <charset val="1"/>
    </font>
    <font>
      <sz val="14"/>
      <color theme="1"/>
      <name val="Calibri"/>
      <family val="2"/>
      <charset val="1"/>
      <scheme val="minor"/>
    </font>
    <font>
      <b/>
      <sz val="11"/>
      <name val="Calibri"/>
      <family val="2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sz val="16"/>
      <color rgb="FF000000"/>
      <name val="Frutiger"/>
    </font>
    <font>
      <sz val="11"/>
      <color rgb="FF00B05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name val="Calibri"/>
      <family val="2"/>
    </font>
    <font>
      <b/>
      <sz val="10"/>
      <color rgb="FF000000"/>
      <name val="Calibri"/>
      <family val="2"/>
    </font>
    <font>
      <sz val="10"/>
      <color rgb="FFFF0000"/>
      <name val="Calibri"/>
      <family val="2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000000"/>
      <name val="Calibri"/>
      <family val="2"/>
    </font>
    <font>
      <sz val="12"/>
      <name val="Calibri"/>
      <family val="2"/>
    </font>
    <font>
      <b/>
      <sz val="12"/>
      <color rgb="FF000000"/>
      <name val="Calibri"/>
      <family val="2"/>
    </font>
    <font>
      <b/>
      <sz val="9"/>
      <name val="Calibri"/>
      <family val="2"/>
    </font>
    <font>
      <b/>
      <sz val="9"/>
      <color rgb="FFFF0000"/>
      <name val="Calibri"/>
      <family val="2"/>
      <charset val="1"/>
    </font>
    <font>
      <b/>
      <sz val="10"/>
      <color rgb="FFFF0000"/>
      <name val="Calibri"/>
      <family val="2"/>
      <charset val="1"/>
    </font>
    <font>
      <b/>
      <sz val="9"/>
      <color rgb="FFFF0000"/>
      <name val="Calibri"/>
      <family val="2"/>
    </font>
    <font>
      <b/>
      <sz val="10"/>
      <color rgb="FFFF0000"/>
      <name val="Calibri"/>
      <family val="2"/>
    </font>
    <font>
      <sz val="11"/>
      <color rgb="FFFF0000"/>
      <name val="Calibri"/>
      <family val="2"/>
    </font>
    <font>
      <u/>
      <sz val="11"/>
      <color rgb="FF000000"/>
      <name val="Calibri"/>
      <family val="2"/>
      <charset val="1"/>
    </font>
    <font>
      <b/>
      <sz val="9"/>
      <color rgb="FF000000"/>
      <name val="Calibri"/>
      <family val="2"/>
    </font>
    <font>
      <sz val="11"/>
      <name val="Calibri"/>
      <family val="2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000000"/>
      <name val="Calibri"/>
      <family val="2"/>
    </font>
    <font>
      <sz val="11"/>
      <color rgb="FF000000"/>
      <name val="Calibri"/>
      <family val="2"/>
      <scheme val="minor"/>
    </font>
    <font>
      <b/>
      <sz val="12"/>
      <color theme="1"/>
      <name val="Calibri"/>
      <family val="2"/>
      <charset val="1"/>
      <scheme val="minor"/>
    </font>
    <font>
      <b/>
      <sz val="13"/>
      <color rgb="FF000000"/>
      <name val="Calibri"/>
      <family val="2"/>
      <charset val="1"/>
    </font>
    <font>
      <b/>
      <sz val="13"/>
      <color theme="1"/>
      <name val="Calibri"/>
      <family val="2"/>
      <charset val="1"/>
      <scheme val="minor"/>
    </font>
    <font>
      <b/>
      <sz val="14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rgb="FFDAE7F6"/>
        <bgColor rgb="FFCCFFFF"/>
      </patternFill>
    </fill>
    <fill>
      <patternFill patternType="solid">
        <fgColor rgb="FFFFFFFF"/>
        <bgColor rgb="FFFFFFCC"/>
      </patternFill>
    </fill>
    <fill>
      <patternFill patternType="solid">
        <fgColor rgb="FFDAE7F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B9CDE5"/>
        <bgColor rgb="FFC0C0C0"/>
      </patternFill>
    </fill>
    <fill>
      <patternFill patternType="solid">
        <fgColor rgb="FFDAE7F6"/>
        <bgColor rgb="FFDCE6F2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557">
    <xf numFmtId="0" fontId="0" fillId="0" borderId="0"/>
    <xf numFmtId="0" fontId="23" fillId="0" borderId="0"/>
    <xf numFmtId="0" fontId="23" fillId="0" borderId="0"/>
    <xf numFmtId="44" fontId="23" fillId="0" borderId="0" applyFont="0" applyFill="0" applyBorder="0" applyAlignment="0" applyProtection="0"/>
    <xf numFmtId="0" fontId="1" fillId="0" borderId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3" fillId="0" borderId="0" applyFont="0" applyFill="0" applyBorder="0" applyAlignment="0" applyProtection="0"/>
  </cellStyleXfs>
  <cellXfs count="397">
    <xf numFmtId="0" fontId="0" fillId="0" borderId="0" xfId="0"/>
    <xf numFmtId="0" fontId="4" fillId="0" borderId="0" xfId="0" applyFont="1"/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left" vertical="center" wrapText="1"/>
    </xf>
    <xf numFmtId="0" fontId="0" fillId="0" borderId="1" xfId="0" applyBorder="1"/>
    <xf numFmtId="0" fontId="13" fillId="0" borderId="0" xfId="0" applyFont="1" applyAlignment="1">
      <alignment wrapText="1"/>
    </xf>
    <xf numFmtId="0" fontId="11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11" fillId="0" borderId="1" xfId="0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center" vertical="center" wrapText="1"/>
    </xf>
    <xf numFmtId="1" fontId="1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5" fillId="0" borderId="1" xfId="0" applyFont="1" applyBorder="1" applyAlignment="1">
      <alignment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1" fontId="16" fillId="0" borderId="1" xfId="0" applyNumberFormat="1" applyFont="1" applyBorder="1" applyAlignment="1">
      <alignment horizontal="center" vertical="center" wrapText="1"/>
    </xf>
    <xf numFmtId="165" fontId="0" fillId="0" borderId="1" xfId="0" applyNumberFormat="1" applyBorder="1" applyAlignment="1">
      <alignment horizontal="left" vertical="center" wrapText="1"/>
    </xf>
    <xf numFmtId="0" fontId="0" fillId="0" borderId="1" xfId="0" applyBorder="1" applyAlignment="1">
      <alignment wrapText="1"/>
    </xf>
    <xf numFmtId="4" fontId="0" fillId="0" borderId="0" xfId="0" applyNumberFormat="1"/>
    <xf numFmtId="165" fontId="17" fillId="0" borderId="1" xfId="0" applyNumberFormat="1" applyFont="1" applyBorder="1" applyAlignment="1">
      <alignment horizontal="left" vertical="center" wrapText="1"/>
    </xf>
    <xf numFmtId="0" fontId="0" fillId="0" borderId="1" xfId="0" applyBorder="1" applyAlignment="1">
      <alignment vertical="top" wrapText="1"/>
    </xf>
    <xf numFmtId="165" fontId="15" fillId="0" borderId="1" xfId="0" applyNumberFormat="1" applyFont="1" applyBorder="1" applyAlignment="1">
      <alignment horizontal="center" vertical="center" wrapText="1"/>
    </xf>
    <xf numFmtId="1" fontId="18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166" fontId="0" fillId="0" borderId="0" xfId="0" applyNumberForma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9" fillId="0" borderId="0" xfId="0" applyFont="1"/>
    <xf numFmtId="0" fontId="0" fillId="0" borderId="0" xfId="0" applyAlignment="1">
      <alignment horizontal="center" vertical="center"/>
    </xf>
    <xf numFmtId="0" fontId="20" fillId="0" borderId="0" xfId="0" applyFont="1" applyAlignment="1">
      <alignment horizontal="center"/>
    </xf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167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167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67" fontId="3" fillId="0" borderId="1" xfId="0" applyNumberFormat="1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vertical="center" wrapText="1"/>
    </xf>
    <xf numFmtId="0" fontId="25" fillId="0" borderId="1" xfId="0" quotePrefix="1" applyFont="1" applyBorder="1" applyAlignment="1">
      <alignment vertical="top" wrapText="1"/>
    </xf>
    <xf numFmtId="0" fontId="26" fillId="0" borderId="0" xfId="0" applyFont="1" applyAlignment="1">
      <alignment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64" fontId="0" fillId="0" borderId="1" xfId="0" applyNumberFormat="1" applyBorder="1" applyAlignment="1">
      <alignment horizontal="center" vertical="center" wrapText="1"/>
    </xf>
    <xf numFmtId="167" fontId="28" fillId="0" borderId="1" xfId="0" applyNumberFormat="1" applyFont="1" applyBorder="1" applyAlignment="1">
      <alignment horizontal="center" vertical="center" wrapText="1"/>
    </xf>
    <xf numFmtId="167" fontId="0" fillId="5" borderId="1" xfId="0" applyNumberFormat="1" applyFill="1" applyBorder="1" applyAlignment="1">
      <alignment horizontal="center" vertical="center" wrapText="1"/>
    </xf>
    <xf numFmtId="0" fontId="29" fillId="0" borderId="1" xfId="0" applyFont="1" applyBorder="1" applyAlignment="1">
      <alignment vertical="center" wrapText="1"/>
    </xf>
    <xf numFmtId="167" fontId="29" fillId="0" borderId="1" xfId="0" applyNumberFormat="1" applyFont="1" applyBorder="1" applyAlignment="1">
      <alignment horizontal="center" vertical="center" wrapText="1"/>
    </xf>
    <xf numFmtId="14" fontId="0" fillId="0" borderId="0" xfId="0" applyNumberFormat="1"/>
    <xf numFmtId="0" fontId="31" fillId="0" borderId="1" xfId="0" applyFont="1" applyBorder="1" applyAlignment="1">
      <alignment vertical="center" wrapText="1"/>
    </xf>
    <xf numFmtId="168" fontId="0" fillId="0" borderId="1" xfId="0" applyNumberFormat="1" applyBorder="1" applyAlignment="1">
      <alignment horizontal="center" vertical="center" wrapText="1"/>
    </xf>
    <xf numFmtId="168" fontId="10" fillId="0" borderId="1" xfId="0" applyNumberFormat="1" applyFont="1" applyBorder="1" applyAlignment="1">
      <alignment horizontal="center" vertical="center" wrapText="1"/>
    </xf>
    <xf numFmtId="168" fontId="11" fillId="0" borderId="1" xfId="0" applyNumberFormat="1" applyFont="1" applyBorder="1" applyAlignment="1">
      <alignment horizontal="center" vertical="center" wrapText="1"/>
    </xf>
    <xf numFmtId="168" fontId="0" fillId="0" borderId="0" xfId="0" applyNumberFormat="1" applyAlignment="1">
      <alignment horizontal="center" vertical="center" wrapText="1"/>
    </xf>
    <xf numFmtId="168" fontId="15" fillId="0" borderId="1" xfId="0" applyNumberFormat="1" applyFon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 wrapText="1"/>
    </xf>
    <xf numFmtId="1" fontId="32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168" fontId="3" fillId="0" borderId="1" xfId="0" applyNumberFormat="1" applyFont="1" applyBorder="1" applyAlignment="1">
      <alignment horizontal="center" vertical="center" wrapText="1"/>
    </xf>
    <xf numFmtId="168" fontId="29" fillId="0" borderId="1" xfId="0" applyNumberFormat="1" applyFont="1" applyBorder="1" applyAlignment="1">
      <alignment horizontal="center" vertical="center" wrapText="1"/>
    </xf>
    <xf numFmtId="0" fontId="24" fillId="0" borderId="0" xfId="0" applyFont="1"/>
    <xf numFmtId="168" fontId="33" fillId="0" borderId="1" xfId="0" applyNumberFormat="1" applyFont="1" applyBorder="1" applyAlignment="1">
      <alignment horizontal="center" vertical="center" wrapText="1"/>
    </xf>
    <xf numFmtId="168" fontId="31" fillId="0" borderId="1" xfId="0" applyNumberFormat="1" applyFont="1" applyBorder="1" applyAlignment="1">
      <alignment horizontal="center" vertical="center" wrapText="1"/>
    </xf>
    <xf numFmtId="168" fontId="31" fillId="3" borderId="1" xfId="0" applyNumberFormat="1" applyFont="1" applyFill="1" applyBorder="1" applyAlignment="1">
      <alignment horizontal="center" vertical="center" wrapText="1"/>
    </xf>
    <xf numFmtId="1" fontId="10" fillId="3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0" fontId="0" fillId="0" borderId="1" xfId="0" applyBorder="1" applyAlignment="1">
      <alignment vertical="center" wrapText="1"/>
    </xf>
    <xf numFmtId="0" fontId="35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5" fillId="0" borderId="1" xfId="0" applyFont="1" applyBorder="1" applyAlignment="1">
      <alignment horizontal="left" vertical="center" wrapText="1"/>
    </xf>
    <xf numFmtId="165" fontId="0" fillId="0" borderId="0" xfId="0" applyNumberFormat="1"/>
    <xf numFmtId="1" fontId="36" fillId="0" borderId="1" xfId="0" applyNumberFormat="1" applyFont="1" applyBorder="1" applyAlignment="1">
      <alignment horizontal="center" vertical="center" wrapText="1"/>
    </xf>
    <xf numFmtId="165" fontId="0" fillId="3" borderId="1" xfId="0" applyNumberFormat="1" applyFill="1" applyBorder="1" applyAlignment="1">
      <alignment horizontal="center" vertical="center" wrapText="1"/>
    </xf>
    <xf numFmtId="3" fontId="16" fillId="0" borderId="1" xfId="0" applyNumberFormat="1" applyFont="1" applyBorder="1" applyAlignment="1">
      <alignment horizontal="center" vertical="center" wrapText="1"/>
    </xf>
    <xf numFmtId="168" fontId="0" fillId="0" borderId="1" xfId="0" applyNumberFormat="1" applyBorder="1" applyAlignment="1">
      <alignment horizontal="center" vertical="center"/>
    </xf>
    <xf numFmtId="168" fontId="11" fillId="0" borderId="1" xfId="0" applyNumberFormat="1" applyFont="1" applyBorder="1" applyAlignment="1">
      <alignment horizontal="center" vertical="center"/>
    </xf>
    <xf numFmtId="168" fontId="11" fillId="0" borderId="5" xfId="0" applyNumberFormat="1" applyFont="1" applyBorder="1" applyAlignment="1">
      <alignment horizontal="center" vertical="center" wrapText="1"/>
    </xf>
    <xf numFmtId="168" fontId="0" fillId="0" borderId="5" xfId="0" applyNumberFormat="1" applyBorder="1" applyAlignment="1">
      <alignment horizontal="center" vertical="center" wrapText="1"/>
    </xf>
    <xf numFmtId="1" fontId="11" fillId="0" borderId="1" xfId="0" applyNumberFormat="1" applyFont="1" applyBorder="1" applyAlignment="1">
      <alignment horizontal="center" vertical="center"/>
    </xf>
    <xf numFmtId="1" fontId="0" fillId="0" borderId="1" xfId="0" applyNumberFormat="1" applyBorder="1" applyAlignment="1">
      <alignment horizontal="center" vertical="center"/>
    </xf>
    <xf numFmtId="0" fontId="18" fillId="0" borderId="1" xfId="1" applyFont="1" applyBorder="1" applyAlignment="1">
      <alignment horizontal="center" vertical="center" wrapText="1"/>
    </xf>
    <xf numFmtId="0" fontId="15" fillId="0" borderId="1" xfId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168" fontId="24" fillId="0" borderId="1" xfId="0" applyNumberFormat="1" applyFont="1" applyBorder="1" applyAlignment="1">
      <alignment horizontal="center" vertical="center"/>
    </xf>
    <xf numFmtId="168" fontId="24" fillId="0" borderId="5" xfId="0" applyNumberFormat="1" applyFont="1" applyBorder="1" applyAlignment="1">
      <alignment horizontal="center" vertical="center" wrapText="1"/>
    </xf>
    <xf numFmtId="168" fontId="39" fillId="0" borderId="1" xfId="0" applyNumberFormat="1" applyFont="1" applyBorder="1" applyAlignment="1">
      <alignment horizontal="center" vertical="center"/>
    </xf>
    <xf numFmtId="168" fontId="39" fillId="0" borderId="5" xfId="0" applyNumberFormat="1" applyFont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center" vertical="center"/>
    </xf>
    <xf numFmtId="0" fontId="11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168" fontId="0" fillId="5" borderId="1" xfId="0" applyNumberFormat="1" applyFill="1" applyBorder="1" applyAlignment="1">
      <alignment horizontal="center" vertical="center" wrapText="1"/>
    </xf>
    <xf numFmtId="168" fontId="24" fillId="5" borderId="1" xfId="0" quotePrefix="1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68" fontId="3" fillId="5" borderId="1" xfId="0" applyNumberFormat="1" applyFont="1" applyFill="1" applyBorder="1" applyAlignment="1">
      <alignment horizontal="center" vertical="center" wrapText="1"/>
    </xf>
    <xf numFmtId="1" fontId="3" fillId="5" borderId="1" xfId="0" applyNumberFormat="1" applyFont="1" applyFill="1" applyBorder="1" applyAlignment="1">
      <alignment horizontal="center" vertical="center"/>
    </xf>
    <xf numFmtId="0" fontId="2" fillId="5" borderId="1" xfId="0" quotePrefix="1" applyFont="1" applyFill="1" applyBorder="1" applyAlignment="1">
      <alignment vertical="center" wrapText="1"/>
    </xf>
    <xf numFmtId="0" fontId="24" fillId="5" borderId="1" xfId="0" quotePrefix="1" applyFont="1" applyFill="1" applyBorder="1" applyAlignment="1">
      <alignment vertical="center" wrapText="1"/>
    </xf>
    <xf numFmtId="0" fontId="3" fillId="5" borderId="1" xfId="0" applyFont="1" applyFill="1" applyBorder="1" applyAlignment="1">
      <alignment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29" fillId="5" borderId="1" xfId="0" applyFont="1" applyFill="1" applyBorder="1" applyAlignment="1">
      <alignment vertical="center" wrapText="1"/>
    </xf>
    <xf numFmtId="0" fontId="0" fillId="5" borderId="1" xfId="0" applyFill="1" applyBorder="1" applyAlignment="1">
      <alignment wrapText="1"/>
    </xf>
    <xf numFmtId="0" fontId="1" fillId="5" borderId="1" xfId="0" applyFont="1" applyFill="1" applyBorder="1" applyAlignment="1">
      <alignment vertical="center" wrapText="1"/>
    </xf>
    <xf numFmtId="168" fontId="28" fillId="5" borderId="1" xfId="0" applyNumberFormat="1" applyFont="1" applyFill="1" applyBorder="1" applyAlignment="1">
      <alignment horizontal="center" vertical="center" wrapText="1"/>
    </xf>
    <xf numFmtId="168" fontId="29" fillId="5" borderId="1" xfId="0" applyNumberFormat="1" applyFont="1" applyFill="1" applyBorder="1" applyAlignment="1">
      <alignment horizontal="center" vertical="center" wrapText="1"/>
    </xf>
    <xf numFmtId="1" fontId="29" fillId="5" borderId="1" xfId="0" applyNumberFormat="1" applyFont="1" applyFill="1" applyBorder="1" applyAlignment="1">
      <alignment horizontal="center" vertical="center" wrapText="1"/>
    </xf>
    <xf numFmtId="1" fontId="0" fillId="5" borderId="1" xfId="0" applyNumberFormat="1" applyFill="1" applyBorder="1" applyAlignment="1">
      <alignment horizontal="center" vertical="center" wrapText="1"/>
    </xf>
    <xf numFmtId="1" fontId="40" fillId="5" borderId="1" xfId="0" applyNumberFormat="1" applyFont="1" applyFill="1" applyBorder="1" applyAlignment="1">
      <alignment horizontal="center" vertical="center" wrapText="1"/>
    </xf>
    <xf numFmtId="1" fontId="41" fillId="5" borderId="1" xfId="0" applyNumberFormat="1" applyFont="1" applyFill="1" applyBorder="1" applyAlignment="1">
      <alignment horizontal="center" vertical="center" wrapText="1"/>
    </xf>
    <xf numFmtId="1" fontId="42" fillId="5" borderId="1" xfId="0" applyNumberFormat="1" applyFont="1" applyFill="1" applyBorder="1" applyAlignment="1">
      <alignment horizontal="center" vertical="center" wrapText="1"/>
    </xf>
    <xf numFmtId="1" fontId="33" fillId="0" borderId="1" xfId="0" applyNumberFormat="1" applyFont="1" applyBorder="1" applyAlignment="1">
      <alignment horizontal="center" vertical="center" wrapText="1"/>
    </xf>
    <xf numFmtId="168" fontId="16" fillId="0" borderId="1" xfId="0" applyNumberFormat="1" applyFont="1" applyBorder="1" applyAlignment="1">
      <alignment horizontal="center" vertical="center"/>
    </xf>
    <xf numFmtId="0" fontId="43" fillId="0" borderId="0" xfId="0" applyFont="1"/>
    <xf numFmtId="0" fontId="20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170" fontId="0" fillId="0" borderId="0" xfId="0" applyNumberFormat="1"/>
    <xf numFmtId="0" fontId="24" fillId="0" borderId="1" xfId="0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/>
    </xf>
    <xf numFmtId="167" fontId="0" fillId="0" borderId="0" xfId="0" applyNumberFormat="1"/>
    <xf numFmtId="0" fontId="24" fillId="0" borderId="1" xfId="0" quotePrefix="1" applyFont="1" applyBorder="1" applyAlignment="1">
      <alignment vertical="center" wrapText="1"/>
    </xf>
    <xf numFmtId="0" fontId="0" fillId="0" borderId="4" xfId="0" applyBorder="1" applyAlignment="1">
      <alignment horizontal="left" vertical="center" wrapText="1"/>
    </xf>
    <xf numFmtId="1" fontId="40" fillId="0" borderId="1" xfId="0" applyNumberFormat="1" applyFont="1" applyBorder="1" applyAlignment="1">
      <alignment horizontal="center" vertical="center" wrapText="1"/>
    </xf>
    <xf numFmtId="0" fontId="34" fillId="0" borderId="1" xfId="0" quotePrefix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6" fillId="0" borderId="1" xfId="0" applyFont="1" applyBorder="1" applyAlignment="1">
      <alignment horizontal="center" vertical="center"/>
    </xf>
    <xf numFmtId="0" fontId="46" fillId="0" borderId="2" xfId="0" applyFont="1" applyBorder="1" applyAlignment="1">
      <alignment horizontal="center" vertical="center" wrapText="1"/>
    </xf>
    <xf numFmtId="0" fontId="47" fillId="0" borderId="2" xfId="0" applyFont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/>
    </xf>
    <xf numFmtId="0" fontId="50" fillId="5" borderId="1" xfId="0" applyFont="1" applyFill="1" applyBorder="1" applyAlignment="1">
      <alignment horizontal="left" vertical="center" wrapText="1"/>
    </xf>
    <xf numFmtId="0" fontId="51" fillId="5" borderId="4" xfId="0" applyFont="1" applyFill="1" applyBorder="1" applyAlignment="1">
      <alignment horizontal="center" vertical="center" wrapText="1"/>
    </xf>
    <xf numFmtId="0" fontId="32" fillId="0" borderId="1" xfId="0" applyFont="1" applyBorder="1" applyAlignment="1">
      <alignment horizontal="center" vertical="center" wrapText="1"/>
    </xf>
    <xf numFmtId="0" fontId="49" fillId="5" borderId="1" xfId="0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horizontal="center" vertical="center" wrapText="1"/>
    </xf>
    <xf numFmtId="0" fontId="50" fillId="0" borderId="1" xfId="0" applyFont="1" applyBorder="1" applyAlignment="1">
      <alignment horizontal="left" vertical="center" wrapText="1"/>
    </xf>
    <xf numFmtId="0" fontId="50" fillId="0" borderId="1" xfId="0" applyFont="1" applyBorder="1" applyAlignment="1">
      <alignment horizontal="center" vertical="center" wrapText="1"/>
    </xf>
    <xf numFmtId="0" fontId="48" fillId="0" borderId="1" xfId="0" applyFont="1" applyBorder="1" applyAlignment="1">
      <alignment horizontal="left" vertical="center" wrapText="1"/>
    </xf>
    <xf numFmtId="167" fontId="48" fillId="0" borderId="1" xfId="0" applyNumberFormat="1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/>
    </xf>
    <xf numFmtId="0" fontId="50" fillId="0" borderId="2" xfId="0" applyFont="1" applyBorder="1" applyAlignment="1">
      <alignment horizontal="left" vertical="center" wrapText="1"/>
    </xf>
    <xf numFmtId="165" fontId="50" fillId="0" borderId="1" xfId="0" applyNumberFormat="1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0" fontId="53" fillId="0" borderId="2" xfId="0" applyFont="1" applyBorder="1" applyAlignment="1">
      <alignment horizontal="center" vertical="center" wrapText="1"/>
    </xf>
    <xf numFmtId="165" fontId="48" fillId="0" borderId="4" xfId="0" applyNumberFormat="1" applyFont="1" applyBorder="1" applyAlignment="1">
      <alignment horizontal="center" vertical="center" wrapText="1"/>
    </xf>
    <xf numFmtId="1" fontId="49" fillId="0" borderId="4" xfId="0" applyNumberFormat="1" applyFont="1" applyBorder="1" applyAlignment="1">
      <alignment horizontal="center" vertical="center" wrapText="1"/>
    </xf>
    <xf numFmtId="1" fontId="49" fillId="0" borderId="1" xfId="0" applyNumberFormat="1" applyFont="1" applyBorder="1" applyAlignment="1">
      <alignment horizontal="center" vertical="center" wrapText="1"/>
    </xf>
    <xf numFmtId="165" fontId="54" fillId="0" borderId="1" xfId="0" applyNumberFormat="1" applyFont="1" applyBorder="1" applyAlignment="1">
      <alignment horizontal="center" vertical="center" wrapText="1"/>
    </xf>
    <xf numFmtId="165" fontId="48" fillId="3" borderId="1" xfId="0" applyNumberFormat="1" applyFont="1" applyFill="1" applyBorder="1" applyAlignment="1">
      <alignment horizontal="center" vertical="center" wrapText="1"/>
    </xf>
    <xf numFmtId="0" fontId="48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 wrapText="1"/>
    </xf>
    <xf numFmtId="167" fontId="48" fillId="0" borderId="0" xfId="0" applyNumberFormat="1" applyFont="1" applyAlignment="1">
      <alignment horizontal="center" vertical="center" wrapText="1"/>
    </xf>
    <xf numFmtId="167" fontId="48" fillId="0" borderId="0" xfId="0" applyNumberFormat="1" applyFont="1" applyAlignment="1">
      <alignment horizontal="center" vertical="center"/>
    </xf>
    <xf numFmtId="168" fontId="41" fillId="0" borderId="1" xfId="4" quotePrefix="1" applyNumberFormat="1" applyFont="1" applyBorder="1" applyAlignment="1">
      <alignment horizontal="center" vertical="center" wrapText="1"/>
    </xf>
    <xf numFmtId="168" fontId="46" fillId="5" borderId="4" xfId="4" applyNumberFormat="1" applyFont="1" applyFill="1" applyBorder="1" applyAlignment="1">
      <alignment horizontal="center" vertical="center" wrapText="1"/>
    </xf>
    <xf numFmtId="168" fontId="41" fillId="0" borderId="2" xfId="4" applyNumberFormat="1" applyFont="1" applyBorder="1" applyAlignment="1">
      <alignment horizontal="center" vertical="center" wrapText="1"/>
    </xf>
    <xf numFmtId="168" fontId="41" fillId="0" borderId="1" xfId="4" applyNumberFormat="1" applyFont="1" applyBorder="1" applyAlignment="1">
      <alignment horizontal="center" vertical="center" wrapText="1"/>
    </xf>
    <xf numFmtId="168" fontId="48" fillId="0" borderId="4" xfId="0" applyNumberFormat="1" applyFont="1" applyBorder="1" applyAlignment="1">
      <alignment horizontal="center" vertical="center" wrapText="1"/>
    </xf>
    <xf numFmtId="168" fontId="50" fillId="0" borderId="1" xfId="0" applyNumberFormat="1" applyFont="1" applyBorder="1" applyAlignment="1">
      <alignment horizontal="center" vertical="center" wrapText="1"/>
    </xf>
    <xf numFmtId="168" fontId="54" fillId="0" borderId="1" xfId="0" applyNumberFormat="1" applyFont="1" applyBorder="1" applyAlignment="1">
      <alignment horizontal="center" vertical="center" wrapText="1"/>
    </xf>
    <xf numFmtId="168" fontId="48" fillId="0" borderId="1" xfId="0" applyNumberFormat="1" applyFont="1" applyBorder="1" applyAlignment="1">
      <alignment horizontal="center" vertical="center" wrapText="1"/>
    </xf>
    <xf numFmtId="1" fontId="32" fillId="0" borderId="1" xfId="4" applyNumberFormat="1" applyFont="1" applyBorder="1" applyAlignment="1">
      <alignment horizontal="center" vertical="center" wrapText="1"/>
    </xf>
    <xf numFmtId="1" fontId="46" fillId="5" borderId="4" xfId="4" applyNumberFormat="1" applyFont="1" applyFill="1" applyBorder="1" applyAlignment="1">
      <alignment horizontal="center" vertical="center" wrapText="1"/>
    </xf>
    <xf numFmtId="1" fontId="32" fillId="0" borderId="1" xfId="0" applyNumberFormat="1" applyFont="1" applyBorder="1" applyAlignment="1">
      <alignment horizontal="center" vertical="center"/>
    </xf>
    <xf numFmtId="1" fontId="48" fillId="5" borderId="1" xfId="4" applyNumberFormat="1" applyFont="1" applyFill="1" applyBorder="1" applyAlignment="1">
      <alignment horizontal="center" vertical="center" wrapText="1"/>
    </xf>
    <xf numFmtId="168" fontId="45" fillId="0" borderId="3" xfId="4" applyNumberFormat="1" applyFont="1" applyBorder="1" applyAlignment="1">
      <alignment horizontal="center" vertical="center" wrapText="1"/>
    </xf>
    <xf numFmtId="168" fontId="41" fillId="5" borderId="1" xfId="4" applyNumberFormat="1" applyFont="1" applyFill="1" applyBorder="1" applyAlignment="1">
      <alignment horizontal="center" vertical="center" wrapText="1"/>
    </xf>
    <xf numFmtId="0" fontId="55" fillId="0" borderId="1" xfId="0" applyFont="1" applyBorder="1" applyAlignment="1">
      <alignment horizontal="center" vertical="center" wrapText="1"/>
    </xf>
    <xf numFmtId="1" fontId="48" fillId="0" borderId="1" xfId="0" applyNumberFormat="1" applyFont="1" applyBorder="1" applyAlignment="1">
      <alignment horizontal="center" vertical="center"/>
    </xf>
    <xf numFmtId="165" fontId="50" fillId="0" borderId="2" xfId="0" applyNumberFormat="1" applyFont="1" applyBorder="1" applyAlignment="1">
      <alignment horizontal="center" vertical="center" wrapText="1"/>
    </xf>
    <xf numFmtId="168" fontId="46" fillId="5" borderId="2" xfId="4" applyNumberFormat="1" applyFont="1" applyFill="1" applyBorder="1" applyAlignment="1">
      <alignment horizontal="center" vertical="center" wrapText="1"/>
    </xf>
    <xf numFmtId="1" fontId="46" fillId="5" borderId="2" xfId="4" applyNumberFormat="1" applyFont="1" applyFill="1" applyBorder="1" applyAlignment="1">
      <alignment horizontal="center" vertical="center" wrapText="1"/>
    </xf>
    <xf numFmtId="167" fontId="52" fillId="0" borderId="1" xfId="0" applyNumberFormat="1" applyFont="1" applyBorder="1" applyAlignment="1">
      <alignment horizontal="center" vertical="center" wrapText="1"/>
    </xf>
    <xf numFmtId="168" fontId="48" fillId="0" borderId="1" xfId="0" applyNumberFormat="1" applyFont="1" applyBorder="1" applyAlignment="1">
      <alignment horizontal="center" vertical="center"/>
    </xf>
    <xf numFmtId="0" fontId="48" fillId="0" borderId="1" xfId="0" applyFont="1" applyBorder="1" applyAlignment="1">
      <alignment vertical="center" wrapText="1"/>
    </xf>
    <xf numFmtId="0" fontId="48" fillId="0" borderId="0" xfId="0" applyFont="1" applyAlignment="1">
      <alignment horizontal="left" vertical="center"/>
    </xf>
    <xf numFmtId="168" fontId="56" fillId="0" borderId="1" xfId="0" applyNumberFormat="1" applyFont="1" applyBorder="1" applyAlignment="1">
      <alignment horizontal="center" vertical="center" wrapText="1"/>
    </xf>
    <xf numFmtId="3" fontId="56" fillId="0" borderId="1" xfId="0" applyNumberFormat="1" applyFont="1" applyBorder="1" applyAlignment="1">
      <alignment horizontal="center" vertical="center" wrapText="1"/>
    </xf>
    <xf numFmtId="168" fontId="3" fillId="0" borderId="1" xfId="0" applyNumberFormat="1" applyFont="1" applyBorder="1" applyAlignment="1">
      <alignment horizontal="center" vertical="center"/>
    </xf>
    <xf numFmtId="168" fontId="24" fillId="0" borderId="1" xfId="0" quotePrefix="1" applyNumberFormat="1" applyFont="1" applyBorder="1" applyAlignment="1">
      <alignment horizontal="center" vertical="center" wrapText="1"/>
    </xf>
    <xf numFmtId="168" fontId="24" fillId="0" borderId="3" xfId="0" applyNumberFormat="1" applyFont="1" applyBorder="1" applyAlignment="1">
      <alignment horizontal="center" vertical="center" wrapText="1"/>
    </xf>
    <xf numFmtId="169" fontId="29" fillId="0" borderId="1" xfId="0" applyNumberFormat="1" applyFont="1" applyBorder="1" applyAlignment="1">
      <alignment horizontal="center" vertical="center" wrapText="1"/>
    </xf>
    <xf numFmtId="1" fontId="24" fillId="0" borderId="1" xfId="0" applyNumberFormat="1" applyFont="1" applyBorder="1" applyAlignment="1">
      <alignment horizontal="center" vertical="center" wrapText="1"/>
    </xf>
    <xf numFmtId="1" fontId="24" fillId="0" borderId="3" xfId="0" applyNumberFormat="1" applyFont="1" applyBorder="1" applyAlignment="1">
      <alignment horizontal="center" vertical="center" wrapText="1"/>
    </xf>
    <xf numFmtId="1" fontId="24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9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57" fillId="0" borderId="1" xfId="0" applyFont="1" applyBorder="1" applyAlignment="1">
      <alignment horizontal="left" vertical="center" wrapText="1"/>
    </xf>
    <xf numFmtId="0" fontId="58" fillId="0" borderId="0" xfId="0" applyFont="1" applyAlignment="1">
      <alignment horizontal="center" vertical="center" wrapText="1"/>
    </xf>
    <xf numFmtId="0" fontId="59" fillId="0" borderId="1" xfId="0" applyFont="1" applyBorder="1" applyAlignment="1">
      <alignment horizontal="left" vertical="center" wrapText="1"/>
    </xf>
    <xf numFmtId="0" fontId="12" fillId="0" borderId="0" xfId="0" applyFont="1"/>
    <xf numFmtId="0" fontId="9" fillId="0" borderId="0" xfId="0" applyFont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0" fillId="0" borderId="1" xfId="0" applyFont="1" applyBorder="1" applyAlignment="1">
      <alignment horizontal="left" vertical="center" wrapText="1"/>
    </xf>
    <xf numFmtId="0" fontId="49" fillId="0" borderId="1" xfId="0" applyFont="1" applyBorder="1" applyAlignment="1">
      <alignment horizontal="left" vertical="center" wrapText="1"/>
    </xf>
    <xf numFmtId="0" fontId="10" fillId="0" borderId="0" xfId="0" applyFont="1"/>
    <xf numFmtId="165" fontId="12" fillId="0" borderId="0" xfId="0" applyNumberFormat="1" applyFont="1"/>
    <xf numFmtId="0" fontId="61" fillId="0" borderId="1" xfId="0" applyFont="1" applyBorder="1" applyAlignment="1">
      <alignment horizontal="left" vertical="center" wrapText="1"/>
    </xf>
    <xf numFmtId="2" fontId="10" fillId="0" borderId="1" xfId="0" applyNumberFormat="1" applyFont="1" applyBorder="1" applyAlignment="1">
      <alignment horizontal="left"/>
    </xf>
    <xf numFmtId="4" fontId="10" fillId="0" borderId="0" xfId="0" applyNumberFormat="1" applyFont="1"/>
    <xf numFmtId="0" fontId="9" fillId="0" borderId="1" xfId="0" applyFont="1" applyBorder="1" applyAlignment="1">
      <alignment horizontal="left" vertical="center" wrapText="1"/>
    </xf>
    <xf numFmtId="0" fontId="62" fillId="0" borderId="1" xfId="0" applyFont="1" applyBorder="1" applyAlignment="1">
      <alignment horizontal="left"/>
    </xf>
    <xf numFmtId="0" fontId="63" fillId="0" borderId="1" xfId="0" applyFont="1" applyBorder="1"/>
    <xf numFmtId="0" fontId="31" fillId="0" borderId="1" xfId="0" applyFont="1" applyBorder="1"/>
    <xf numFmtId="0" fontId="49" fillId="0" borderId="1" xfId="0" applyFont="1" applyBorder="1" applyAlignment="1">
      <alignment horizontal="left"/>
    </xf>
    <xf numFmtId="0" fontId="62" fillId="0" borderId="0" xfId="0" applyFont="1" applyAlignment="1">
      <alignment horizontal="center" vertical="center" wrapText="1"/>
    </xf>
    <xf numFmtId="0" fontId="64" fillId="0" borderId="1" xfId="0" applyFont="1" applyBorder="1" applyAlignment="1">
      <alignment horizontal="left" vertical="center" wrapText="1"/>
    </xf>
    <xf numFmtId="171" fontId="10" fillId="0" borderId="0" xfId="0" applyNumberFormat="1" applyFont="1"/>
    <xf numFmtId="0" fontId="10" fillId="0" borderId="1" xfId="0" applyFont="1" applyBorder="1" applyAlignment="1">
      <alignment horizontal="left"/>
    </xf>
    <xf numFmtId="172" fontId="11" fillId="0" borderId="0" xfId="0" applyNumberFormat="1" applyFont="1"/>
    <xf numFmtId="0" fontId="59" fillId="0" borderId="1" xfId="0" applyFont="1" applyBorder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left" vertical="center"/>
    </xf>
    <xf numFmtId="0" fontId="11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/>
    </xf>
    <xf numFmtId="1" fontId="65" fillId="0" borderId="1" xfId="0" applyNumberFormat="1" applyFont="1" applyBorder="1" applyAlignment="1">
      <alignment horizontal="center" vertical="center"/>
    </xf>
    <xf numFmtId="1" fontId="31" fillId="0" borderId="1" xfId="0" applyNumberFormat="1" applyFont="1" applyBorder="1" applyAlignment="1">
      <alignment horizontal="center" vertical="center"/>
    </xf>
    <xf numFmtId="168" fontId="0" fillId="0" borderId="3" xfId="0" applyNumberFormat="1" applyBorder="1" applyAlignment="1">
      <alignment horizontal="center" vertical="center" wrapText="1"/>
    </xf>
    <xf numFmtId="168" fontId="31" fillId="0" borderId="1" xfId="0" applyNumberFormat="1" applyFont="1" applyBorder="1" applyAlignment="1">
      <alignment horizontal="center" vertical="center"/>
    </xf>
    <xf numFmtId="168" fontId="65" fillId="0" borderId="1" xfId="0" applyNumberFormat="1" applyFont="1" applyBorder="1" applyAlignment="1">
      <alignment horizontal="center" vertical="center" wrapText="1"/>
    </xf>
    <xf numFmtId="168" fontId="14" fillId="0" borderId="1" xfId="0" applyNumberFormat="1" applyFont="1" applyBorder="1" applyAlignment="1">
      <alignment horizontal="center" vertical="center" wrapText="1"/>
    </xf>
    <xf numFmtId="1" fontId="35" fillId="0" borderId="1" xfId="0" applyNumberFormat="1" applyFont="1" applyBorder="1" applyAlignment="1">
      <alignment horizontal="center" vertical="center" wrapText="1"/>
    </xf>
    <xf numFmtId="1" fontId="31" fillId="0" borderId="1" xfId="0" applyNumberFormat="1" applyFont="1" applyBorder="1" applyAlignment="1">
      <alignment horizontal="center" vertical="center" wrapText="1"/>
    </xf>
    <xf numFmtId="1" fontId="65" fillId="5" borderId="1" xfId="0" applyNumberFormat="1" applyFont="1" applyFill="1" applyBorder="1" applyAlignment="1">
      <alignment horizontal="center" vertical="center" wrapText="1"/>
    </xf>
    <xf numFmtId="1" fontId="65" fillId="0" borderId="1" xfId="0" applyNumberFormat="1" applyFont="1" applyBorder="1" applyAlignment="1">
      <alignment horizontal="center" vertical="center" wrapText="1"/>
    </xf>
    <xf numFmtId="1" fontId="10" fillId="0" borderId="1" xfId="0" applyNumberFormat="1" applyFont="1" applyBorder="1" applyAlignment="1">
      <alignment horizontal="center" vertical="center"/>
    </xf>
    <xf numFmtId="168" fontId="15" fillId="0" borderId="1" xfId="0" applyNumberFormat="1" applyFont="1" applyBorder="1" applyAlignment="1">
      <alignment horizontal="center" vertical="center"/>
    </xf>
    <xf numFmtId="3" fontId="15" fillId="0" borderId="1" xfId="0" applyNumberFormat="1" applyFont="1" applyBorder="1" applyAlignment="1">
      <alignment horizontal="center" vertical="center"/>
    </xf>
    <xf numFmtId="0" fontId="23" fillId="0" borderId="0" xfId="1"/>
    <xf numFmtId="14" fontId="23" fillId="0" borderId="0" xfId="1" applyNumberFormat="1"/>
    <xf numFmtId="0" fontId="23" fillId="0" borderId="0" xfId="1" applyAlignment="1">
      <alignment horizontal="left"/>
    </xf>
    <xf numFmtId="14" fontId="48" fillId="0" borderId="0" xfId="0" applyNumberFormat="1" applyFont="1" applyAlignment="1">
      <alignment horizontal="left" vertical="center"/>
    </xf>
    <xf numFmtId="167" fontId="48" fillId="0" borderId="0" xfId="0" applyNumberFormat="1" applyFont="1" applyAlignment="1">
      <alignment horizontal="left" vertical="center"/>
    </xf>
    <xf numFmtId="0" fontId="48" fillId="0" borderId="0" xfId="0" applyFont="1"/>
    <xf numFmtId="0" fontId="10" fillId="0" borderId="0" xfId="0" applyFont="1" applyAlignment="1">
      <alignment wrapText="1"/>
    </xf>
    <xf numFmtId="0" fontId="46" fillId="0" borderId="1" xfId="0" applyFont="1" applyBorder="1" applyAlignment="1">
      <alignment horizontal="center" vertical="center" wrapText="1"/>
    </xf>
    <xf numFmtId="0" fontId="47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66" fillId="0" borderId="1" xfId="0" quotePrefix="1" applyFont="1" applyBorder="1" applyAlignment="1">
      <alignment vertical="center" wrapText="1"/>
    </xf>
    <xf numFmtId="1" fontId="41" fillId="0" borderId="1" xfId="0" applyNumberFormat="1" applyFont="1" applyBorder="1" applyAlignment="1">
      <alignment horizontal="center" vertical="center" wrapText="1"/>
    </xf>
    <xf numFmtId="1" fontId="45" fillId="0" borderId="1" xfId="0" applyNumberFormat="1" applyFont="1" applyBorder="1" applyAlignment="1">
      <alignment horizontal="center" vertical="center" wrapText="1"/>
    </xf>
    <xf numFmtId="0" fontId="67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24" fillId="0" borderId="1" xfId="0" applyFont="1" applyBorder="1" applyAlignment="1">
      <alignment wrapText="1"/>
    </xf>
    <xf numFmtId="0" fontId="24" fillId="0" borderId="1" xfId="0" applyFont="1" applyBorder="1" applyAlignment="1">
      <alignment vertical="center" wrapText="1"/>
    </xf>
    <xf numFmtId="0" fontId="25" fillId="0" borderId="1" xfId="0" applyFont="1" applyBorder="1" applyAlignment="1">
      <alignment horizontal="center" vertical="center" wrapText="1"/>
    </xf>
    <xf numFmtId="0" fontId="68" fillId="0" borderId="1" xfId="0" applyFont="1" applyBorder="1" applyAlignment="1">
      <alignment horizontal="center" vertical="center" wrapText="1"/>
    </xf>
    <xf numFmtId="0" fontId="25" fillId="0" borderId="1" xfId="0" quotePrefix="1" applyFont="1" applyBorder="1" applyAlignment="1">
      <alignment vertical="center" wrapText="1"/>
    </xf>
    <xf numFmtId="0" fontId="19" fillId="0" borderId="0" xfId="0" applyFont="1" applyAlignment="1">
      <alignment vertical="center"/>
    </xf>
    <xf numFmtId="0" fontId="69" fillId="9" borderId="1" xfId="0" applyFont="1" applyFill="1" applyBorder="1" applyAlignment="1">
      <alignment horizontal="center" vertical="center"/>
    </xf>
    <xf numFmtId="0" fontId="69" fillId="0" borderId="1" xfId="0" applyFont="1" applyBorder="1" applyAlignment="1">
      <alignment horizontal="center" vertical="center"/>
    </xf>
    <xf numFmtId="0" fontId="0" fillId="9" borderId="1" xfId="0" applyFill="1" applyBorder="1" applyAlignment="1">
      <alignment horizontal="center" vertical="center"/>
    </xf>
    <xf numFmtId="0" fontId="0" fillId="5" borderId="0" xfId="0" applyFill="1" applyAlignment="1">
      <alignment vertical="center"/>
    </xf>
    <xf numFmtId="0" fontId="15" fillId="0" borderId="1" xfId="0" applyFont="1" applyBorder="1" applyAlignment="1">
      <alignment horizontal="left" vertical="center" wrapText="1"/>
    </xf>
    <xf numFmtId="0" fontId="70" fillId="0" borderId="1" xfId="0" applyFont="1" applyBorder="1" applyAlignment="1">
      <alignment horizontal="center" vertical="center" wrapText="1"/>
    </xf>
    <xf numFmtId="172" fontId="0" fillId="0" borderId="0" xfId="0" applyNumberFormat="1" applyAlignment="1">
      <alignment vertical="center"/>
    </xf>
    <xf numFmtId="0" fontId="1" fillId="0" borderId="4" xfId="0" applyFont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170" fontId="3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167" fontId="0" fillId="5" borderId="1" xfId="0" quotePrefix="1" applyNumberFormat="1" applyFill="1" applyBorder="1" applyAlignment="1">
      <alignment horizontal="center" vertical="center" wrapText="1"/>
    </xf>
    <xf numFmtId="0" fontId="69" fillId="0" borderId="0" xfId="0" applyFont="1" applyAlignment="1">
      <alignment horizontal="center" vertical="center" wrapText="1"/>
    </xf>
    <xf numFmtId="0" fontId="71" fillId="0" borderId="1" xfId="0" applyFont="1" applyBorder="1" applyAlignment="1">
      <alignment horizontal="left" vertical="center" wrapText="1"/>
    </xf>
    <xf numFmtId="0" fontId="72" fillId="0" borderId="1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170" fontId="0" fillId="0" borderId="0" xfId="0" applyNumberFormat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14" fontId="0" fillId="0" borderId="0" xfId="0" applyNumberFormat="1" applyAlignment="1">
      <alignment vertical="center"/>
    </xf>
    <xf numFmtId="170" fontId="0" fillId="0" borderId="0" xfId="0" applyNumberFormat="1" applyAlignment="1">
      <alignment vertical="center"/>
    </xf>
    <xf numFmtId="1" fontId="0" fillId="0" borderId="0" xfId="0" applyNumberFormat="1" applyAlignment="1">
      <alignment vertical="center"/>
    </xf>
    <xf numFmtId="173" fontId="71" fillId="0" borderId="1" xfId="0" applyNumberFormat="1" applyFont="1" applyBorder="1" applyAlignment="1">
      <alignment horizontal="center" vertical="center"/>
    </xf>
    <xf numFmtId="1" fontId="48" fillId="0" borderId="1" xfId="0" applyNumberFormat="1" applyFont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 wrapText="1"/>
    </xf>
    <xf numFmtId="1" fontId="54" fillId="0" borderId="1" xfId="0" applyNumberFormat="1" applyFont="1" applyBorder="1" applyAlignment="1">
      <alignment horizontal="center" vertical="center" wrapText="1"/>
    </xf>
    <xf numFmtId="175" fontId="29" fillId="0" borderId="1" xfId="0" applyNumberFormat="1" applyFont="1" applyBorder="1" applyAlignment="1">
      <alignment horizontal="center" vertical="center" wrapText="1"/>
    </xf>
    <xf numFmtId="174" fontId="71" fillId="0" borderId="1" xfId="0" applyNumberFormat="1" applyFont="1" applyBorder="1" applyAlignment="1">
      <alignment horizontal="center" vertical="center"/>
    </xf>
    <xf numFmtId="1" fontId="30" fillId="0" borderId="1" xfId="0" applyNumberFormat="1" applyFont="1" applyBorder="1" applyAlignment="1">
      <alignment horizontal="center" vertical="center" wrapText="1"/>
    </xf>
    <xf numFmtId="1" fontId="48" fillId="5" borderId="1" xfId="0" applyNumberFormat="1" applyFont="1" applyFill="1" applyBorder="1" applyAlignment="1">
      <alignment horizontal="center" vertical="center" wrapText="1"/>
    </xf>
    <xf numFmtId="169" fontId="73" fillId="0" borderId="1" xfId="1" applyNumberFormat="1" applyFont="1" applyBorder="1" applyAlignment="1">
      <alignment horizontal="center" vertical="center" wrapText="1"/>
    </xf>
    <xf numFmtId="168" fontId="73" fillId="0" borderId="1" xfId="1" applyNumberFormat="1" applyFont="1" applyBorder="1" applyAlignment="1">
      <alignment horizontal="center" vertical="center" wrapText="1"/>
    </xf>
    <xf numFmtId="164" fontId="73" fillId="0" borderId="1" xfId="0" applyNumberFormat="1" applyFont="1" applyBorder="1" applyAlignment="1">
      <alignment horizontal="center" vertical="center"/>
    </xf>
    <xf numFmtId="0" fontId="23" fillId="0" borderId="0" xfId="1" applyAlignment="1">
      <alignment wrapText="1"/>
    </xf>
    <xf numFmtId="0" fontId="23" fillId="0" borderId="0" xfId="1" applyAlignment="1">
      <alignment horizontal="center" vertical="center" wrapText="1"/>
    </xf>
    <xf numFmtId="0" fontId="23" fillId="0" borderId="0" xfId="1" applyAlignment="1">
      <alignment horizontal="center"/>
    </xf>
    <xf numFmtId="0" fontId="24" fillId="0" borderId="0" xfId="1" applyFont="1"/>
    <xf numFmtId="0" fontId="23" fillId="0" borderId="0" xfId="1" applyAlignment="1">
      <alignment horizontal="center" vertical="center"/>
    </xf>
    <xf numFmtId="170" fontId="23" fillId="0" borderId="0" xfId="1" applyNumberFormat="1" applyAlignment="1">
      <alignment horizontal="center" vertical="center" wrapText="1"/>
    </xf>
    <xf numFmtId="1" fontId="23" fillId="0" borderId="0" xfId="1" applyNumberFormat="1" applyAlignment="1">
      <alignment horizontal="center" vertical="center" wrapText="1"/>
    </xf>
    <xf numFmtId="170" fontId="23" fillId="0" borderId="0" xfId="1" applyNumberFormat="1"/>
    <xf numFmtId="1" fontId="23" fillId="0" borderId="0" xfId="1" applyNumberFormat="1"/>
    <xf numFmtId="0" fontId="29" fillId="5" borderId="5" xfId="0" applyFont="1" applyFill="1" applyBorder="1" applyAlignment="1">
      <alignment horizontal="center" vertical="center" wrapText="1"/>
    </xf>
    <xf numFmtId="0" fontId="29" fillId="5" borderId="6" xfId="0" applyFont="1" applyFill="1" applyBorder="1" applyAlignment="1">
      <alignment horizontal="center" vertical="center" wrapText="1"/>
    </xf>
    <xf numFmtId="0" fontId="3" fillId="5" borderId="5" xfId="0" applyFont="1" applyFill="1" applyBorder="1" applyAlignment="1">
      <alignment horizontal="center" vertical="center" wrapText="1"/>
    </xf>
    <xf numFmtId="0" fontId="3" fillId="5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center" vertical="center" wrapText="1"/>
    </xf>
    <xf numFmtId="0" fontId="0" fillId="0" borderId="0" xfId="0"/>
    <xf numFmtId="0" fontId="0" fillId="5" borderId="5" xfId="0" applyFill="1" applyBorder="1" applyAlignment="1">
      <alignment horizontal="center" vertical="center" wrapText="1"/>
    </xf>
    <xf numFmtId="0" fontId="0" fillId="5" borderId="6" xfId="0" applyFill="1" applyBorder="1" applyAlignment="1">
      <alignment horizontal="center" vertical="center" wrapText="1"/>
    </xf>
    <xf numFmtId="168" fontId="0" fillId="5" borderId="2" xfId="0" applyNumberFormat="1" applyFill="1" applyBorder="1" applyAlignment="1">
      <alignment horizontal="center" vertical="center" wrapText="1"/>
    </xf>
    <xf numFmtId="168" fontId="0" fillId="5" borderId="4" xfId="0" applyNumberFormat="1" applyFill="1" applyBorder="1" applyAlignment="1">
      <alignment horizontal="center" vertical="center" wrapText="1"/>
    </xf>
    <xf numFmtId="1" fontId="0" fillId="5" borderId="2" xfId="0" applyNumberFormat="1" applyFill="1" applyBorder="1" applyAlignment="1">
      <alignment horizontal="center" vertical="center"/>
    </xf>
    <xf numFmtId="1" fontId="0" fillId="5" borderId="4" xfId="0" applyNumberFormat="1" applyFill="1" applyBorder="1" applyAlignment="1">
      <alignment horizontal="center" vertical="center"/>
    </xf>
    <xf numFmtId="0" fontId="11" fillId="5" borderId="5" xfId="0" applyFont="1" applyFill="1" applyBorder="1" applyAlignment="1">
      <alignment horizontal="center" vertical="center" wrapText="1"/>
    </xf>
    <xf numFmtId="0" fontId="11" fillId="5" borderId="6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left" vertical="center" wrapText="1"/>
    </xf>
    <xf numFmtId="0" fontId="1" fillId="5" borderId="3" xfId="0" applyFont="1" applyFill="1" applyBorder="1" applyAlignment="1">
      <alignment horizontal="left" vertical="center" wrapText="1"/>
    </xf>
    <xf numFmtId="0" fontId="1" fillId="5" borderId="4" xfId="0" applyFont="1" applyFill="1" applyBorder="1" applyAlignment="1">
      <alignment horizontal="left" vertical="center" wrapText="1"/>
    </xf>
    <xf numFmtId="168" fontId="1" fillId="5" borderId="2" xfId="3" applyNumberFormat="1" applyFont="1" applyFill="1" applyBorder="1" applyAlignment="1">
      <alignment horizontal="center" vertical="center" wrapText="1"/>
    </xf>
    <xf numFmtId="168" fontId="1" fillId="5" borderId="4" xfId="3" applyNumberFormat="1" applyFont="1" applyFill="1" applyBorder="1" applyAlignment="1">
      <alignment horizontal="center" vertical="center" wrapText="1"/>
    </xf>
    <xf numFmtId="0" fontId="0" fillId="5" borderId="2" xfId="0" applyFill="1" applyBorder="1" applyAlignment="1">
      <alignment horizontal="center" vertical="center" wrapText="1"/>
    </xf>
    <xf numFmtId="0" fontId="0" fillId="5" borderId="3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5" borderId="4" xfId="0" applyFont="1" applyFill="1" applyBorder="1" applyAlignment="1">
      <alignment horizontal="center" vertical="center" wrapText="1"/>
    </xf>
    <xf numFmtId="168" fontId="0" fillId="5" borderId="1" xfId="0" applyNumberFormat="1" applyFill="1" applyBorder="1" applyAlignment="1">
      <alignment horizontal="center" vertical="center" wrapText="1"/>
    </xf>
    <xf numFmtId="1" fontId="0" fillId="5" borderId="1" xfId="0" applyNumberFormat="1" applyFill="1" applyBorder="1" applyAlignment="1">
      <alignment horizontal="center" vertical="center"/>
    </xf>
    <xf numFmtId="168" fontId="1" fillId="5" borderId="1" xfId="188" applyNumberFormat="1" applyFont="1" applyFill="1" applyBorder="1" applyAlignment="1">
      <alignment horizontal="center" vertical="center"/>
    </xf>
    <xf numFmtId="168" fontId="0" fillId="5" borderId="3" xfId="0" applyNumberFormat="1" applyFill="1" applyBorder="1" applyAlignment="1">
      <alignment horizontal="center" vertical="center" wrapText="1"/>
    </xf>
    <xf numFmtId="1" fontId="0" fillId="5" borderId="2" xfId="0" applyNumberFormat="1" applyFill="1" applyBorder="1" applyAlignment="1">
      <alignment horizontal="center" vertical="center" wrapText="1"/>
    </xf>
    <xf numFmtId="1" fontId="0" fillId="5" borderId="3" xfId="0" applyNumberFormat="1" applyFill="1" applyBorder="1" applyAlignment="1">
      <alignment horizontal="center" vertical="center" wrapText="1"/>
    </xf>
    <xf numFmtId="1" fontId="0" fillId="5" borderId="4" xfId="0" applyNumberFormat="1" applyFill="1" applyBorder="1" applyAlignment="1">
      <alignment horizontal="center" vertical="center" wrapText="1"/>
    </xf>
    <xf numFmtId="1" fontId="0" fillId="5" borderId="1" xfId="0" applyNumberFormat="1" applyFill="1" applyBorder="1" applyAlignment="1">
      <alignment horizontal="center" vertical="center" wrapText="1"/>
    </xf>
    <xf numFmtId="168" fontId="0" fillId="5" borderId="1" xfId="0" applyNumberFormat="1" applyFill="1" applyBorder="1" applyAlignment="1">
      <alignment horizontal="center" vertical="center"/>
    </xf>
    <xf numFmtId="168" fontId="24" fillId="5" borderId="1" xfId="0" applyNumberFormat="1" applyFont="1" applyFill="1" applyBorder="1" applyAlignment="1">
      <alignment horizontal="center" vertical="center"/>
    </xf>
    <xf numFmtId="1" fontId="24" fillId="5" borderId="1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9" fillId="6" borderId="1" xfId="0" applyFont="1" applyFill="1" applyBorder="1" applyAlignment="1">
      <alignment horizontal="center" vertical="center" wrapText="1"/>
    </xf>
    <xf numFmtId="0" fontId="31" fillId="0" borderId="2" xfId="0" applyFont="1" applyBorder="1" applyAlignment="1">
      <alignment horizontal="left" vertical="center" wrapText="1"/>
    </xf>
    <xf numFmtId="0" fontId="31" fillId="0" borderId="3" xfId="0" applyFont="1" applyBorder="1" applyAlignment="1">
      <alignment horizontal="left" vertical="center" wrapText="1"/>
    </xf>
    <xf numFmtId="0" fontId="31" fillId="0" borderId="4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/>
    </xf>
    <xf numFmtId="0" fontId="22" fillId="4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1" fillId="4" borderId="1" xfId="0" applyFont="1" applyFill="1" applyBorder="1" applyAlignment="1">
      <alignment horizontal="center" vertical="center" wrapText="1"/>
    </xf>
    <xf numFmtId="0" fontId="27" fillId="4" borderId="1" xfId="0" applyFont="1" applyFill="1" applyBorder="1"/>
    <xf numFmtId="0" fontId="50" fillId="2" borderId="1" xfId="0" applyFont="1" applyFill="1" applyBorder="1" applyAlignment="1">
      <alignment horizontal="center" vertical="center" wrapText="1"/>
    </xf>
    <xf numFmtId="0" fontId="50" fillId="7" borderId="1" xfId="0" applyFont="1" applyFill="1" applyBorder="1" applyAlignment="1">
      <alignment horizontal="center" vertical="center" wrapText="1"/>
    </xf>
    <xf numFmtId="0" fontId="48" fillId="0" borderId="2" xfId="0" applyFont="1" applyBorder="1" applyAlignment="1">
      <alignment horizontal="left" vertical="center" wrapText="1"/>
    </xf>
    <xf numFmtId="0" fontId="48" fillId="0" borderId="3" xfId="0" applyFont="1" applyBorder="1" applyAlignment="1">
      <alignment horizontal="left" vertical="center" wrapText="1"/>
    </xf>
    <xf numFmtId="0" fontId="48" fillId="0" borderId="4" xfId="0" applyFont="1" applyBorder="1" applyAlignment="1">
      <alignment horizontal="left" vertical="center" wrapText="1"/>
    </xf>
    <xf numFmtId="0" fontId="48" fillId="0" borderId="0" xfId="0" applyFont="1" applyAlignment="1">
      <alignment horizontal="left" vertical="center"/>
    </xf>
    <xf numFmtId="0" fontId="32" fillId="0" borderId="1" xfId="0" applyFont="1" applyBorder="1" applyAlignment="1">
      <alignment horizontal="center" vertical="center" wrapText="1"/>
    </xf>
    <xf numFmtId="168" fontId="41" fillId="0" borderId="1" xfId="4" applyNumberFormat="1" applyFont="1" applyBorder="1" applyAlignment="1">
      <alignment horizontal="center" vertical="center" wrapText="1"/>
    </xf>
    <xf numFmtId="0" fontId="32" fillId="5" borderId="1" xfId="0" applyFont="1" applyFill="1" applyBorder="1" applyAlignment="1">
      <alignment horizontal="center" vertical="center" wrapText="1"/>
    </xf>
    <xf numFmtId="0" fontId="41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/>
    </xf>
    <xf numFmtId="0" fontId="48" fillId="0" borderId="8" xfId="0" applyFont="1" applyBorder="1" applyAlignment="1">
      <alignment horizontal="center" vertical="center" wrapText="1"/>
    </xf>
    <xf numFmtId="0" fontId="48" fillId="0" borderId="9" xfId="0" applyFont="1" applyBorder="1" applyAlignment="1">
      <alignment horizontal="center" vertical="center" wrapText="1"/>
    </xf>
    <xf numFmtId="168" fontId="41" fillId="5" borderId="1" xfId="4" applyNumberFormat="1" applyFont="1" applyFill="1" applyBorder="1" applyAlignment="1">
      <alignment horizontal="center" vertical="center" wrapText="1"/>
    </xf>
    <xf numFmtId="0" fontId="6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/>
    </xf>
    <xf numFmtId="0" fontId="31" fillId="0" borderId="2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31" fillId="0" borderId="1" xfId="0" applyFont="1" applyBorder="1" applyAlignment="1">
      <alignment horizontal="left" vertical="center" wrapText="1"/>
    </xf>
    <xf numFmtId="0" fontId="0" fillId="0" borderId="0" xfId="0" applyAlignment="1" applyProtection="1">
      <alignment horizontal="left"/>
      <protection locked="0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27" fillId="4" borderId="1" xfId="0" applyFont="1" applyFill="1" applyBorder="1" applyAlignment="1">
      <alignment vertical="center"/>
    </xf>
    <xf numFmtId="0" fontId="1" fillId="0" borderId="3" xfId="0" applyFont="1" applyBorder="1" applyAlignment="1">
      <alignment horizontal="left" vertical="center" wrapText="1"/>
    </xf>
    <xf numFmtId="0" fontId="3" fillId="6" borderId="1" xfId="0" applyFont="1" applyFill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1" fillId="0" borderId="4" xfId="0" applyFont="1" applyBorder="1" applyAlignment="1">
      <alignment horizontal="center" vertical="center" wrapText="1"/>
    </xf>
    <xf numFmtId="0" fontId="69" fillId="9" borderId="2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69" fillId="9" borderId="4" xfId="0" applyFont="1" applyFill="1" applyBorder="1" applyAlignment="1">
      <alignment horizontal="center" vertical="center"/>
    </xf>
    <xf numFmtId="0" fontId="0" fillId="0" borderId="2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4" xfId="0" applyBorder="1" applyAlignment="1">
      <alignment vertical="center"/>
    </xf>
    <xf numFmtId="0" fontId="15" fillId="7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4" fillId="0" borderId="1" xfId="0" quotePrefix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</cellXfs>
  <cellStyles count="557">
    <cellStyle name="Normale" xfId="0" builtinId="0"/>
    <cellStyle name="Normale 2" xfId="1" xr:uid="{52B8ACE6-8811-47B5-B831-C149874613E5}"/>
    <cellStyle name="Normale 3" xfId="4" xr:uid="{F4C1EBD0-5CF1-4CC1-B26B-4CECD0380137}"/>
    <cellStyle name="Normale 4" xfId="2" xr:uid="{196C59D1-F05B-4C75-A2A9-078E91956558}"/>
    <cellStyle name="Valuta 10" xfId="51" xr:uid="{E4DB47D9-5B9C-46DE-B077-4EC4B2924E3E}"/>
    <cellStyle name="Valuta 10 2" xfId="96" xr:uid="{45BC8DF8-2FE1-4361-AD89-9432893BFEEF}"/>
    <cellStyle name="Valuta 10 2 2" xfId="281" xr:uid="{06E7156D-F26B-4C2F-AA68-843D75C49ACE}"/>
    <cellStyle name="Valuta 10 2 3" xfId="465" xr:uid="{89BC7E01-B34F-47F0-8687-57937AA11903}"/>
    <cellStyle name="Valuta 10 3" xfId="141" xr:uid="{55215B61-91B5-4649-9997-E1CF014D9926}"/>
    <cellStyle name="Valuta 10 3 2" xfId="326" xr:uid="{E8F4B8EC-55DC-4518-BCAE-C2941AF01874}"/>
    <cellStyle name="Valuta 10 3 3" xfId="510" xr:uid="{844F38C8-0F1B-4D17-A91C-EEEE47789532}"/>
    <cellStyle name="Valuta 10 4" xfId="186" xr:uid="{255845AD-4236-41B6-B329-52B8B124E94F}"/>
    <cellStyle name="Valuta 10 4 2" xfId="371" xr:uid="{75FFC1A1-C952-4718-A522-3589D35DC0AB}"/>
    <cellStyle name="Valuta 10 4 3" xfId="555" xr:uid="{271C5E6E-FC96-4DE5-A95F-56B2B8EC5E95}"/>
    <cellStyle name="Valuta 10 5" xfId="236" xr:uid="{2E723D33-18A0-41F5-950B-D15BAA28B0C6}"/>
    <cellStyle name="Valuta 10 6" xfId="420" xr:uid="{55871FCC-C0B7-46C6-9E07-8F64B7EA381E}"/>
    <cellStyle name="Valuta 11" xfId="40" xr:uid="{C6A0040F-CEFB-4832-89E1-1C941186AF26}"/>
    <cellStyle name="Valuta 11 2" xfId="225" xr:uid="{9967805B-B0EF-49CA-85EC-063BC51FD4FC}"/>
    <cellStyle name="Valuta 11 3" xfId="409" xr:uid="{59ABBE18-B1C8-4C06-94B6-DE364F0F674E}"/>
    <cellStyle name="Valuta 12" xfId="85" xr:uid="{7F2F9D27-1907-43E0-9A25-C2699BF5483C}"/>
    <cellStyle name="Valuta 12 2" xfId="270" xr:uid="{A669058D-8504-493D-A3AE-12EBC96001C3}"/>
    <cellStyle name="Valuta 12 3" xfId="454" xr:uid="{F87E0C1F-8AC6-4171-A2E6-E44F10A56EF9}"/>
    <cellStyle name="Valuta 13" xfId="130" xr:uid="{80984053-0599-482E-8453-ECCC893BBCBB}"/>
    <cellStyle name="Valuta 13 2" xfId="315" xr:uid="{D60D0188-A1AD-484B-A347-F78D34DC5C55}"/>
    <cellStyle name="Valuta 13 3" xfId="499" xr:uid="{5C7C2659-9F5C-4D62-B079-703F57E7D99B}"/>
    <cellStyle name="Valuta 14" xfId="175" xr:uid="{2C710D10-B41F-473F-8BB9-A9A36513739E}"/>
    <cellStyle name="Valuta 14 2" xfId="360" xr:uid="{77714708-40A7-45DF-93D3-0B332BC679BA}"/>
    <cellStyle name="Valuta 14 3" xfId="544" xr:uid="{90A0684F-2ADC-414E-801B-2F45F78EA3FB}"/>
    <cellStyle name="Valuta 15" xfId="187" xr:uid="{EBFA14D3-5532-43CB-8017-7769F7909A98}"/>
    <cellStyle name="Valuta 15 2" xfId="372" xr:uid="{3665564E-3AF7-4AC1-B071-8AC9EEDA3334}"/>
    <cellStyle name="Valuta 15 3" xfId="556" xr:uid="{9B89EA7B-AA88-4C1B-8404-4DF9A6AE2F24}"/>
    <cellStyle name="Valuta 16" xfId="188" xr:uid="{AA5F99E2-030E-4AB2-8599-77BADE4B464C}"/>
    <cellStyle name="Valuta 2" xfId="3" xr:uid="{015537CA-4B0F-4B75-A85B-BA81780CFE1D}"/>
    <cellStyle name="Valuta 2 10" xfId="6" xr:uid="{8DCAF81B-0F0A-4CA6-97AF-CA86074D3060}"/>
    <cellStyle name="Valuta 2 10 2" xfId="191" xr:uid="{E5510FDD-200C-489A-B0C9-655B20BF0544}"/>
    <cellStyle name="Valuta 2 10 3" xfId="375" xr:uid="{2D3B98F2-4C67-4A20-8723-76945AE4F0D8}"/>
    <cellStyle name="Valuta 2 11" xfId="189" xr:uid="{386D1F5B-FF80-4AF3-AB1F-FACD34D82245}"/>
    <cellStyle name="Valuta 2 12" xfId="373" xr:uid="{E06D300C-CA80-4718-99BD-AAFFC82DB92C}"/>
    <cellStyle name="Valuta 2 2" xfId="9" xr:uid="{1F0EC9EF-6BEB-4AA6-838D-919AC34B9637}"/>
    <cellStyle name="Valuta 2 2 10" xfId="378" xr:uid="{E1D92623-C17D-4CDF-9C0A-18454C70AD93}"/>
    <cellStyle name="Valuta 2 2 2" xfId="14" xr:uid="{B199F4DE-E717-414E-91ED-A5E38C359E66}"/>
    <cellStyle name="Valuta 2 2 2 2" xfId="25" xr:uid="{76294861-6429-4F52-8B8B-CAFA9ED62A4A}"/>
    <cellStyle name="Valuta 2 2 2 2 2" xfId="70" xr:uid="{2A54ECC0-7980-4C5A-A056-A26CE169ADC7}"/>
    <cellStyle name="Valuta 2 2 2 2 2 2" xfId="255" xr:uid="{01CC7F94-8590-4B1E-B7D1-4E82CD7E1702}"/>
    <cellStyle name="Valuta 2 2 2 2 2 3" xfId="439" xr:uid="{9A252DAC-2415-4F25-BC09-7F496FFD544C}"/>
    <cellStyle name="Valuta 2 2 2 2 3" xfId="115" xr:uid="{6B470369-19C9-45F1-83C7-D56CEE465944}"/>
    <cellStyle name="Valuta 2 2 2 2 3 2" xfId="300" xr:uid="{1B16155C-A699-400D-9715-BA4E02CD742D}"/>
    <cellStyle name="Valuta 2 2 2 2 3 3" xfId="484" xr:uid="{E0F0B7AB-7327-4829-8D9B-23D132110AF4}"/>
    <cellStyle name="Valuta 2 2 2 2 4" xfId="160" xr:uid="{02A23B2D-0E54-43B9-9F81-5C9DCE72EB6C}"/>
    <cellStyle name="Valuta 2 2 2 2 4 2" xfId="345" xr:uid="{8ADB5C51-56FC-4F44-B2F5-02E8C5C37351}"/>
    <cellStyle name="Valuta 2 2 2 2 4 3" xfId="529" xr:uid="{5207D55B-6698-498E-8656-A8DCB5C8D0AB}"/>
    <cellStyle name="Valuta 2 2 2 2 5" xfId="210" xr:uid="{52DDB804-3558-4314-9053-F945B345D7E7}"/>
    <cellStyle name="Valuta 2 2 2 2 6" xfId="394" xr:uid="{F13190BF-E4E5-4619-9A89-EE30D62699C2}"/>
    <cellStyle name="Valuta 2 2 2 3" xfId="36" xr:uid="{1BE3E322-22A1-40D7-9115-4EB7DEDFC206}"/>
    <cellStyle name="Valuta 2 2 2 3 2" xfId="81" xr:uid="{9454E015-75D1-4F23-B8D7-703F6DC3B5D0}"/>
    <cellStyle name="Valuta 2 2 2 3 2 2" xfId="266" xr:uid="{29249726-062C-418E-A01D-6AC5F01744E9}"/>
    <cellStyle name="Valuta 2 2 2 3 2 3" xfId="450" xr:uid="{E3D6E182-636D-4A63-A9DE-716D027C037D}"/>
    <cellStyle name="Valuta 2 2 2 3 3" xfId="126" xr:uid="{1F23FEAC-B049-4C42-A4DB-460692CFD6B3}"/>
    <cellStyle name="Valuta 2 2 2 3 3 2" xfId="311" xr:uid="{11CCE58D-7722-4D01-A553-F6E2641881A4}"/>
    <cellStyle name="Valuta 2 2 2 3 3 3" xfId="495" xr:uid="{0E9D143D-9137-4CA4-A26D-82FA33C66CB2}"/>
    <cellStyle name="Valuta 2 2 2 3 4" xfId="171" xr:uid="{D652B343-2DD8-4DAC-A460-3722E64243A3}"/>
    <cellStyle name="Valuta 2 2 2 3 4 2" xfId="356" xr:uid="{8BCB1B61-B02B-4720-8CC6-2CA04AC657DF}"/>
    <cellStyle name="Valuta 2 2 2 3 4 3" xfId="540" xr:uid="{ADD43085-4919-42AB-84E3-F3A255236110}"/>
    <cellStyle name="Valuta 2 2 2 3 5" xfId="221" xr:uid="{5490482D-6329-4F08-8F8D-C0D19844E208}"/>
    <cellStyle name="Valuta 2 2 2 3 6" xfId="405" xr:uid="{DCE98F96-B0EB-46B8-8992-BEB887471183}"/>
    <cellStyle name="Valuta 2 2 2 4" xfId="48" xr:uid="{9C455340-71E4-42E7-8ED4-83381AE1F171}"/>
    <cellStyle name="Valuta 2 2 2 4 2" xfId="93" xr:uid="{190C69BE-FA0A-4A66-AD46-5781B5261871}"/>
    <cellStyle name="Valuta 2 2 2 4 2 2" xfId="278" xr:uid="{DE0268DD-7215-4F4F-87EE-5E4117FAE3D7}"/>
    <cellStyle name="Valuta 2 2 2 4 2 3" xfId="462" xr:uid="{5BECB5DE-79C6-41AF-AF38-54475B7A27D8}"/>
    <cellStyle name="Valuta 2 2 2 4 3" xfId="138" xr:uid="{795399F5-F59B-477A-ACE5-5EDE4A701C82}"/>
    <cellStyle name="Valuta 2 2 2 4 3 2" xfId="323" xr:uid="{F6B8A4A6-0A17-4773-A870-8DB94BD6B692}"/>
    <cellStyle name="Valuta 2 2 2 4 3 3" xfId="507" xr:uid="{D73E62DB-2146-4CEC-82CA-488E2824B1C0}"/>
    <cellStyle name="Valuta 2 2 2 4 4" xfId="183" xr:uid="{BE9A7C51-35A6-4788-BE98-EE5BF8B912C3}"/>
    <cellStyle name="Valuta 2 2 2 4 4 2" xfId="368" xr:uid="{621A90A9-38B1-4B70-9BEC-7D133970A156}"/>
    <cellStyle name="Valuta 2 2 2 4 4 3" xfId="552" xr:uid="{017682B3-5D94-44BB-8677-F45AF0F0F2C7}"/>
    <cellStyle name="Valuta 2 2 2 4 5" xfId="233" xr:uid="{09853BA6-D2D1-43D4-B3C7-2E7933D7CE58}"/>
    <cellStyle name="Valuta 2 2 2 4 6" xfId="417" xr:uid="{CB60F38C-654B-42B5-8D46-FB526E866560}"/>
    <cellStyle name="Valuta 2 2 2 5" xfId="59" xr:uid="{45BEDE0F-6E52-45CD-A296-F90B2E7FF4AE}"/>
    <cellStyle name="Valuta 2 2 2 5 2" xfId="244" xr:uid="{EFBB432C-C86E-494D-98FE-A4A4E1BA0A68}"/>
    <cellStyle name="Valuta 2 2 2 5 3" xfId="428" xr:uid="{CC1A5C7A-839C-4EA0-A0C8-CF50B2336631}"/>
    <cellStyle name="Valuta 2 2 2 6" xfId="104" xr:uid="{B9D7374C-1932-4CF3-95D7-1C2E640B5264}"/>
    <cellStyle name="Valuta 2 2 2 6 2" xfId="289" xr:uid="{5E915168-79C5-47AA-87D3-15E380C009C0}"/>
    <cellStyle name="Valuta 2 2 2 6 3" xfId="473" xr:uid="{947CA6E7-B3B4-46AB-A779-DC7C66C4FD76}"/>
    <cellStyle name="Valuta 2 2 2 7" xfId="149" xr:uid="{F74C1D15-4ABC-4BD9-A7AF-B2F2FC6973FC}"/>
    <cellStyle name="Valuta 2 2 2 7 2" xfId="334" xr:uid="{6A2DB3D6-3EF3-4CB1-9343-2C4F2BA06C19}"/>
    <cellStyle name="Valuta 2 2 2 7 3" xfId="518" xr:uid="{41DD1427-E2C5-4D2D-BDEE-7669EA3AF3D1}"/>
    <cellStyle name="Valuta 2 2 2 8" xfId="199" xr:uid="{A985E424-21E1-46BC-8926-72B6C6D9A6AB}"/>
    <cellStyle name="Valuta 2 2 2 9" xfId="383" xr:uid="{151B8593-3B8E-42B9-9822-9D9A57D45FD4}"/>
    <cellStyle name="Valuta 2 2 3" xfId="20" xr:uid="{88D2AB59-37E6-45AA-90C2-6BADFC1FBAAA}"/>
    <cellStyle name="Valuta 2 2 3 2" xfId="65" xr:uid="{2832B102-1EC7-4534-BF5B-6AF91B81D427}"/>
    <cellStyle name="Valuta 2 2 3 2 2" xfId="250" xr:uid="{B6724F72-83C0-437E-A2FF-8D6CC90D13AA}"/>
    <cellStyle name="Valuta 2 2 3 2 3" xfId="434" xr:uid="{561BCEE1-ECDD-49B4-8712-1F7EAA02C418}"/>
    <cellStyle name="Valuta 2 2 3 3" xfId="110" xr:uid="{99C4906B-66C3-4D7B-AB02-3060D4D3BDDB}"/>
    <cellStyle name="Valuta 2 2 3 3 2" xfId="295" xr:uid="{A8308053-DFC6-4789-864E-8814E5F1EC01}"/>
    <cellStyle name="Valuta 2 2 3 3 3" xfId="479" xr:uid="{9CDE93C1-25E2-4F7D-9E28-9623CBB889B1}"/>
    <cellStyle name="Valuta 2 2 3 4" xfId="155" xr:uid="{5A82A767-8612-4EE3-8491-BC4543619153}"/>
    <cellStyle name="Valuta 2 2 3 4 2" xfId="340" xr:uid="{7CE71CED-7719-4A29-838F-AF3173A81261}"/>
    <cellStyle name="Valuta 2 2 3 4 3" xfId="524" xr:uid="{69C98281-1B8C-4394-89C3-9A421C447C29}"/>
    <cellStyle name="Valuta 2 2 3 5" xfId="205" xr:uid="{F89D0C67-664D-4D09-BE6B-593CF7F65F77}"/>
    <cellStyle name="Valuta 2 2 3 6" xfId="389" xr:uid="{FEF2C969-D09F-4899-9AD6-FB897D08079A}"/>
    <cellStyle name="Valuta 2 2 4" xfId="31" xr:uid="{6E853FDE-EED3-484F-8EF2-E9ABEF5EDFF7}"/>
    <cellStyle name="Valuta 2 2 4 2" xfId="76" xr:uid="{3B1E8D13-3C8B-45F8-82D0-808C4061B9C6}"/>
    <cellStyle name="Valuta 2 2 4 2 2" xfId="261" xr:uid="{78163B4F-C4E1-48BF-8AFC-96BAF2F8C12B}"/>
    <cellStyle name="Valuta 2 2 4 2 3" xfId="445" xr:uid="{03CF61D4-4223-4B47-8B18-18B7C4B38A29}"/>
    <cellStyle name="Valuta 2 2 4 3" xfId="121" xr:uid="{DD46942B-7051-404F-90BD-2303803013F1}"/>
    <cellStyle name="Valuta 2 2 4 3 2" xfId="306" xr:uid="{A6A4B7FF-4DE8-47ED-8A70-BB2AE34EEE07}"/>
    <cellStyle name="Valuta 2 2 4 3 3" xfId="490" xr:uid="{4F82F5CB-5027-49F7-B846-D927085B9D62}"/>
    <cellStyle name="Valuta 2 2 4 4" xfId="166" xr:uid="{F7113B99-D32F-4D46-8EDC-B5B8AF06184C}"/>
    <cellStyle name="Valuta 2 2 4 4 2" xfId="351" xr:uid="{EDA63EB9-4849-4FB4-897B-58EF85C00BBB}"/>
    <cellStyle name="Valuta 2 2 4 4 3" xfId="535" xr:uid="{321363A0-4877-46A9-B05D-1B8614AA704B}"/>
    <cellStyle name="Valuta 2 2 4 5" xfId="216" xr:uid="{D241D6EC-CB20-4145-B9FE-D49CF1503D86}"/>
    <cellStyle name="Valuta 2 2 4 6" xfId="400" xr:uid="{6C76623B-2366-44BD-B42F-E2219E8410E5}"/>
    <cellStyle name="Valuta 2 2 5" xfId="43" xr:uid="{055592C3-6769-49E3-A852-07C4F1D9F659}"/>
    <cellStyle name="Valuta 2 2 5 2" xfId="88" xr:uid="{F362AADE-0BB3-4AAE-97EE-887FAF74ADB7}"/>
    <cellStyle name="Valuta 2 2 5 2 2" xfId="273" xr:uid="{B7AADD37-1933-41B1-8086-7E1470A87CD7}"/>
    <cellStyle name="Valuta 2 2 5 2 3" xfId="457" xr:uid="{24456CCF-3BA6-461C-A318-D336845B47DB}"/>
    <cellStyle name="Valuta 2 2 5 3" xfId="133" xr:uid="{B082768A-799D-4E70-AF16-3F6144642DA4}"/>
    <cellStyle name="Valuta 2 2 5 3 2" xfId="318" xr:uid="{6C3688C3-0E19-44C6-B108-D0AC53800604}"/>
    <cellStyle name="Valuta 2 2 5 3 3" xfId="502" xr:uid="{2AF8C01D-BA4A-4F26-A7CB-2A72651982D9}"/>
    <cellStyle name="Valuta 2 2 5 4" xfId="178" xr:uid="{9B1F0884-D07D-4AFD-B951-75F15A065690}"/>
    <cellStyle name="Valuta 2 2 5 4 2" xfId="363" xr:uid="{A5251B83-CF7B-45CA-A2F4-824F752C00DE}"/>
    <cellStyle name="Valuta 2 2 5 4 3" xfId="547" xr:uid="{6350232F-157F-4955-920F-68E2D63135F0}"/>
    <cellStyle name="Valuta 2 2 5 5" xfId="228" xr:uid="{F92EF81B-D3CB-4073-BAC2-9331B74C57E8}"/>
    <cellStyle name="Valuta 2 2 5 6" xfId="412" xr:uid="{8B6668B9-E331-4E91-B196-5E6C3CF7A7A3}"/>
    <cellStyle name="Valuta 2 2 6" xfId="54" xr:uid="{7DC61FC4-6B66-4BE4-A65B-969985B17D16}"/>
    <cellStyle name="Valuta 2 2 6 2" xfId="239" xr:uid="{65BC917C-0F8E-4A12-8054-01BB3CC2539B}"/>
    <cellStyle name="Valuta 2 2 6 3" xfId="423" xr:uid="{2EAC51F1-A680-4D70-9542-A5BD78A80BF3}"/>
    <cellStyle name="Valuta 2 2 7" xfId="99" xr:uid="{43D9A3BD-0683-4BDC-8C31-4DE2E1E5AF6C}"/>
    <cellStyle name="Valuta 2 2 7 2" xfId="284" xr:uid="{7E8B0BA8-9F50-45B4-95DE-7F213239E082}"/>
    <cellStyle name="Valuta 2 2 7 3" xfId="468" xr:uid="{C3FA6753-BD7D-488D-BE41-F45FC54DE9F3}"/>
    <cellStyle name="Valuta 2 2 8" xfId="144" xr:uid="{01C4F420-5759-45ED-9136-4BFE163478FD}"/>
    <cellStyle name="Valuta 2 2 8 2" xfId="329" xr:uid="{4DAA5740-C6FD-4124-8F2D-319FD32FC956}"/>
    <cellStyle name="Valuta 2 2 8 3" xfId="513" xr:uid="{DE7D37F7-A2CB-4EA7-951B-0B9588720D68}"/>
    <cellStyle name="Valuta 2 2 9" xfId="194" xr:uid="{D1B80EDB-E47C-4696-AAFC-58644BF304C2}"/>
    <cellStyle name="Valuta 2 3" xfId="12" xr:uid="{964F83A4-9112-45DA-AABD-01F4A424F54A}"/>
    <cellStyle name="Valuta 2 3 2" xfId="23" xr:uid="{5262476F-37ED-43CE-B671-431674E72689}"/>
    <cellStyle name="Valuta 2 3 2 2" xfId="68" xr:uid="{69963D8E-ED89-4B03-990A-FF334348752E}"/>
    <cellStyle name="Valuta 2 3 2 2 2" xfId="253" xr:uid="{9370125B-8C07-4DBE-B99C-3E6A1981346A}"/>
    <cellStyle name="Valuta 2 3 2 2 3" xfId="437" xr:uid="{C6222B78-D298-47C2-9CF9-C4926DB9723D}"/>
    <cellStyle name="Valuta 2 3 2 3" xfId="113" xr:uid="{326CD864-CBE6-4C64-A2FA-ED05C638A76C}"/>
    <cellStyle name="Valuta 2 3 2 3 2" xfId="298" xr:uid="{F12DC1A3-87DB-47B0-877A-5779769696AB}"/>
    <cellStyle name="Valuta 2 3 2 3 3" xfId="482" xr:uid="{43886247-F7FF-4BBE-9725-8219A8CE4264}"/>
    <cellStyle name="Valuta 2 3 2 4" xfId="158" xr:uid="{F7771A9F-6DE9-469E-A159-6014BA0A2DED}"/>
    <cellStyle name="Valuta 2 3 2 4 2" xfId="343" xr:uid="{96D161E8-119E-41C5-AFF5-1E3949F8E809}"/>
    <cellStyle name="Valuta 2 3 2 4 3" xfId="527" xr:uid="{26FFBCBD-B345-4574-95AF-CF1D26F2DA0F}"/>
    <cellStyle name="Valuta 2 3 2 5" xfId="208" xr:uid="{F090F8F9-CC8D-4385-89E2-72B7AFA100A0}"/>
    <cellStyle name="Valuta 2 3 2 6" xfId="392" xr:uid="{57E6EA6E-6E1C-452F-828A-0248FD7E7728}"/>
    <cellStyle name="Valuta 2 3 3" xfId="34" xr:uid="{8FCD5776-B9F7-4163-960E-429238130421}"/>
    <cellStyle name="Valuta 2 3 3 2" xfId="79" xr:uid="{C03B5EF0-B97C-47E6-B98C-B00D55E79D6F}"/>
    <cellStyle name="Valuta 2 3 3 2 2" xfId="264" xr:uid="{4C3C6CE3-EE20-4C7C-876C-2A2F30F248CB}"/>
    <cellStyle name="Valuta 2 3 3 2 3" xfId="448" xr:uid="{96F11C71-4419-4BE6-9FE3-0F311C7DA331}"/>
    <cellStyle name="Valuta 2 3 3 3" xfId="124" xr:uid="{C8762CDF-84F1-4452-9BEF-7D7D529428ED}"/>
    <cellStyle name="Valuta 2 3 3 3 2" xfId="309" xr:uid="{32477136-F46B-4F3D-931B-CDFF6F1FBF1F}"/>
    <cellStyle name="Valuta 2 3 3 3 3" xfId="493" xr:uid="{60CCC0CB-246B-4191-B0B7-F4F7A5B12D44}"/>
    <cellStyle name="Valuta 2 3 3 4" xfId="169" xr:uid="{81B5BDFF-A62F-479D-934F-CCBDBDBD6B12}"/>
    <cellStyle name="Valuta 2 3 3 4 2" xfId="354" xr:uid="{B6C1DAD9-FF54-45A5-ABE8-54E316E29888}"/>
    <cellStyle name="Valuta 2 3 3 4 3" xfId="538" xr:uid="{1A2E6F6D-6539-418D-9268-EB42B7A32C68}"/>
    <cellStyle name="Valuta 2 3 3 5" xfId="219" xr:uid="{5DCC749F-2F7D-4684-830A-8EC0E53DB3FE}"/>
    <cellStyle name="Valuta 2 3 3 6" xfId="403" xr:uid="{9D660119-3A51-4453-83EF-C84F96BDA6B4}"/>
    <cellStyle name="Valuta 2 3 4" xfId="46" xr:uid="{58B16AC2-219B-4A2D-BBB0-28358B09DA69}"/>
    <cellStyle name="Valuta 2 3 4 2" xfId="91" xr:uid="{FDDC8160-DE18-4218-A627-611A6119C5A1}"/>
    <cellStyle name="Valuta 2 3 4 2 2" xfId="276" xr:uid="{0BB171CB-9D4F-4FA0-8E71-12B3A827AED4}"/>
    <cellStyle name="Valuta 2 3 4 2 3" xfId="460" xr:uid="{DC41CB6C-7C2F-4C19-89EB-BC09F6789FBC}"/>
    <cellStyle name="Valuta 2 3 4 3" xfId="136" xr:uid="{D6FB0B59-E375-432C-B095-09189620BACF}"/>
    <cellStyle name="Valuta 2 3 4 3 2" xfId="321" xr:uid="{95B86D08-6E07-4093-A97A-C4842D0A8F7E}"/>
    <cellStyle name="Valuta 2 3 4 3 3" xfId="505" xr:uid="{A42C7D82-3650-4FAA-B3C5-5EDB58D1ED9E}"/>
    <cellStyle name="Valuta 2 3 4 4" xfId="181" xr:uid="{AD27C709-BB73-48DA-A1D7-937681F9E90D}"/>
    <cellStyle name="Valuta 2 3 4 4 2" xfId="366" xr:uid="{CB93DA8A-F526-4243-809B-B74C506012A2}"/>
    <cellStyle name="Valuta 2 3 4 4 3" xfId="550" xr:uid="{B4E80C34-DF2B-464D-8535-ACA02EF7E530}"/>
    <cellStyle name="Valuta 2 3 4 5" xfId="231" xr:uid="{356F2D1F-001A-4B2E-A2BE-FF21B3FC5AE2}"/>
    <cellStyle name="Valuta 2 3 4 6" xfId="415" xr:uid="{F745B31C-EF49-4F04-BAB1-79098085E785}"/>
    <cellStyle name="Valuta 2 3 5" xfId="57" xr:uid="{8C4C77C2-0E14-48F3-9855-914666E83C05}"/>
    <cellStyle name="Valuta 2 3 5 2" xfId="242" xr:uid="{45D1EB21-EAF5-4A2D-B62F-4EDC207595D3}"/>
    <cellStyle name="Valuta 2 3 5 3" xfId="426" xr:uid="{89E34330-3193-4973-9432-AE6AED3300BA}"/>
    <cellStyle name="Valuta 2 3 6" xfId="102" xr:uid="{C16513B4-982F-4D5D-84D9-40621137BFD9}"/>
    <cellStyle name="Valuta 2 3 6 2" xfId="287" xr:uid="{4626A045-25CE-486B-9F0C-1E703793AF18}"/>
    <cellStyle name="Valuta 2 3 6 3" xfId="471" xr:uid="{8C1DF455-CC6C-4FAE-A21E-3DDFE791958B}"/>
    <cellStyle name="Valuta 2 3 7" xfId="147" xr:uid="{B8B34C86-5D75-4CBF-8D66-07F732EDD593}"/>
    <cellStyle name="Valuta 2 3 7 2" xfId="332" xr:uid="{50C7EECC-DA80-4083-8B19-C3BD2EBFE0EB}"/>
    <cellStyle name="Valuta 2 3 7 3" xfId="516" xr:uid="{84F26F0A-BCBA-4B55-89DD-EC5483EE1658}"/>
    <cellStyle name="Valuta 2 3 8" xfId="197" xr:uid="{B69BB1BB-0DB3-4814-9303-1068860FC476}"/>
    <cellStyle name="Valuta 2 3 9" xfId="381" xr:uid="{FF72F707-9672-41D7-82C0-9560B7B58F54}"/>
    <cellStyle name="Valuta 2 4" xfId="18" xr:uid="{621BD068-783E-4DFE-B2DD-813F5C4900A5}"/>
    <cellStyle name="Valuta 2 4 2" xfId="63" xr:uid="{590FB4C4-C327-4FDC-A777-4338086FE1D3}"/>
    <cellStyle name="Valuta 2 4 2 2" xfId="248" xr:uid="{C9C32293-687C-49FF-943E-EC5004372385}"/>
    <cellStyle name="Valuta 2 4 2 3" xfId="432" xr:uid="{E08440DB-AA8D-4EF9-82A5-EB5415A3BD17}"/>
    <cellStyle name="Valuta 2 4 3" xfId="108" xr:uid="{C82BFD0B-ECC8-43D5-921F-F85BD72AC59C}"/>
    <cellStyle name="Valuta 2 4 3 2" xfId="293" xr:uid="{6E10A167-F104-426F-8751-3A270DE0F54B}"/>
    <cellStyle name="Valuta 2 4 3 3" xfId="477" xr:uid="{08220FA5-4CE4-4019-B9E0-B5211BD3FB4E}"/>
    <cellStyle name="Valuta 2 4 4" xfId="153" xr:uid="{6F503E49-E2B0-4BB2-A9A4-CF7DE3D83FC2}"/>
    <cellStyle name="Valuta 2 4 4 2" xfId="338" xr:uid="{C5F4C6EE-D646-49CF-B8A4-D7296A147122}"/>
    <cellStyle name="Valuta 2 4 4 3" xfId="522" xr:uid="{EDE7D376-B119-4A91-A0A6-D0F6146F2229}"/>
    <cellStyle name="Valuta 2 4 5" xfId="203" xr:uid="{D0452282-F83E-4938-BC17-9DEB6D298144}"/>
    <cellStyle name="Valuta 2 4 6" xfId="387" xr:uid="{43C5473B-7FF8-46BF-A183-8EA6E6DF46DE}"/>
    <cellStyle name="Valuta 2 5" xfId="29" xr:uid="{2958AC22-73B5-4A9D-9428-0C19998C8AAA}"/>
    <cellStyle name="Valuta 2 5 2" xfId="74" xr:uid="{46F20D90-43AD-4AA5-9B30-C8C655BEE4A1}"/>
    <cellStyle name="Valuta 2 5 2 2" xfId="259" xr:uid="{2A435A53-6A4B-4D59-A3B4-9BFBF4EC0E8E}"/>
    <cellStyle name="Valuta 2 5 2 3" xfId="443" xr:uid="{7902100A-AC6B-4D27-8F6B-3D7A0E89357B}"/>
    <cellStyle name="Valuta 2 5 3" xfId="119" xr:uid="{5CABBA33-4056-4A7C-88D5-1979729BFD77}"/>
    <cellStyle name="Valuta 2 5 3 2" xfId="304" xr:uid="{F8DAC822-3EC1-45B2-86E0-3C84FBC8F5EE}"/>
    <cellStyle name="Valuta 2 5 3 3" xfId="488" xr:uid="{8EF0D4A3-3A40-495B-BD1D-7FD98F2C6E78}"/>
    <cellStyle name="Valuta 2 5 4" xfId="164" xr:uid="{AAC82F95-24F0-4C44-9ABE-7985C45EB889}"/>
    <cellStyle name="Valuta 2 5 4 2" xfId="349" xr:uid="{C400B985-9FBE-40AC-9630-F1BF62079D29}"/>
    <cellStyle name="Valuta 2 5 4 3" xfId="533" xr:uid="{19CB0912-8788-4844-9435-C28E4B6873A1}"/>
    <cellStyle name="Valuta 2 5 5" xfId="214" xr:uid="{36BFC0E4-0C76-428E-AA18-14DAF4AF425A}"/>
    <cellStyle name="Valuta 2 5 6" xfId="398" xr:uid="{6C311E65-7C38-4187-BF86-B0FD4C7AB886}"/>
    <cellStyle name="Valuta 2 6" xfId="41" xr:uid="{5D246E2B-B4D2-4934-B670-C8D3E5D707C7}"/>
    <cellStyle name="Valuta 2 6 2" xfId="86" xr:uid="{4072B3F4-BD94-47BC-83D9-8C899FDFC7C9}"/>
    <cellStyle name="Valuta 2 6 2 2" xfId="271" xr:uid="{56A1EC5D-4A30-4BDC-9BFC-8A08CDFBFB87}"/>
    <cellStyle name="Valuta 2 6 2 3" xfId="455" xr:uid="{C31624AF-0D9C-4660-8540-EC8E155C1DE6}"/>
    <cellStyle name="Valuta 2 6 3" xfId="131" xr:uid="{9042032A-910F-49A6-9185-2643C753AF2F}"/>
    <cellStyle name="Valuta 2 6 3 2" xfId="316" xr:uid="{56BF5D98-CE4C-4F07-B203-57FA0B7C7132}"/>
    <cellStyle name="Valuta 2 6 3 3" xfId="500" xr:uid="{83684B61-49E2-491E-980F-89705295E196}"/>
    <cellStyle name="Valuta 2 6 4" xfId="176" xr:uid="{81862D69-2274-4D86-847A-DF3227DD4B8C}"/>
    <cellStyle name="Valuta 2 6 4 2" xfId="361" xr:uid="{BF7750C5-E7AE-475D-89B5-5B5BE00988E6}"/>
    <cellStyle name="Valuta 2 6 4 3" xfId="545" xr:uid="{672667E7-1C77-446D-AD08-DC7383289E63}"/>
    <cellStyle name="Valuta 2 6 5" xfId="226" xr:uid="{A36A52C6-A8B5-4C10-8555-59D3F35DEF8D}"/>
    <cellStyle name="Valuta 2 6 6" xfId="410" xr:uid="{F92A8A49-143A-476A-8DE7-59ED34529C52}"/>
    <cellStyle name="Valuta 2 7" xfId="52" xr:uid="{AA700DA8-E1ED-4655-A7D8-EEBA2FC583E4}"/>
    <cellStyle name="Valuta 2 7 2" xfId="237" xr:uid="{16A2115C-2C7F-4857-8343-945E133BF7C5}"/>
    <cellStyle name="Valuta 2 7 3" xfId="421" xr:uid="{31C123BE-52E5-4074-B621-9C8D56AC19FD}"/>
    <cellStyle name="Valuta 2 8" xfId="97" xr:uid="{2CF23EE5-FF98-4385-A04D-556642185986}"/>
    <cellStyle name="Valuta 2 8 2" xfId="282" xr:uid="{F2105FB4-C55F-4460-81CB-EA92138D4077}"/>
    <cellStyle name="Valuta 2 8 3" xfId="466" xr:uid="{4074C71B-2057-4529-A2F4-9B4A9DCB780F}"/>
    <cellStyle name="Valuta 2 9" xfId="142" xr:uid="{F1325DC1-9E43-4602-BB87-B1C9F91CA176}"/>
    <cellStyle name="Valuta 2 9 2" xfId="327" xr:uid="{A2D2DF70-E1E0-43C4-A353-D6A225188271}"/>
    <cellStyle name="Valuta 2 9 3" xfId="511" xr:uid="{AC8AD76C-A1CF-4E7B-858C-41ADBFF4BA51}"/>
    <cellStyle name="Valuta 3" xfId="5" xr:uid="{FCDA39E8-0986-4BAD-8EA4-9E56FE278945}"/>
    <cellStyle name="Valuta 3 10" xfId="190" xr:uid="{7D953030-6F47-4917-AC23-8A2E72B281B9}"/>
    <cellStyle name="Valuta 3 11" xfId="374" xr:uid="{C60086B7-5DA6-4BFE-ACE4-DF2976B68D9E}"/>
    <cellStyle name="Valuta 3 2" xfId="13" xr:uid="{5A2B0EF5-8DF4-43FC-8604-F15DB4D39536}"/>
    <cellStyle name="Valuta 3 2 2" xfId="24" xr:uid="{8354F54A-88B4-4A18-B252-1B9E7D2C5082}"/>
    <cellStyle name="Valuta 3 2 2 2" xfId="69" xr:uid="{68E5219A-CD49-4B83-8981-CF935F6E6589}"/>
    <cellStyle name="Valuta 3 2 2 2 2" xfId="254" xr:uid="{06C25872-5064-4ACD-B8C2-69E9838485FB}"/>
    <cellStyle name="Valuta 3 2 2 2 3" xfId="438" xr:uid="{ED4D7767-96B3-4450-8857-18B2A7278F15}"/>
    <cellStyle name="Valuta 3 2 2 3" xfId="114" xr:uid="{9E8C7F11-8881-44A8-8B0A-480306732F80}"/>
    <cellStyle name="Valuta 3 2 2 3 2" xfId="299" xr:uid="{FB24284E-ED1F-47B5-9574-151D5AD7D145}"/>
    <cellStyle name="Valuta 3 2 2 3 3" xfId="483" xr:uid="{44B31F7F-5EA6-405F-BF45-C0482F4E07D7}"/>
    <cellStyle name="Valuta 3 2 2 4" xfId="159" xr:uid="{ABD2E0D5-0A7F-4AC4-88EA-55422A73467B}"/>
    <cellStyle name="Valuta 3 2 2 4 2" xfId="344" xr:uid="{B6387472-C12B-432D-BB56-62D838ED15C0}"/>
    <cellStyle name="Valuta 3 2 2 4 3" xfId="528" xr:uid="{F4F9A8A4-1A0C-4AA4-BDA2-10F6F97B7557}"/>
    <cellStyle name="Valuta 3 2 2 5" xfId="209" xr:uid="{FF0F5095-3968-41E8-9161-A1958ACDD5BA}"/>
    <cellStyle name="Valuta 3 2 2 6" xfId="393" xr:uid="{EE43FB61-656B-4B7B-A27B-B26D98ED7A65}"/>
    <cellStyle name="Valuta 3 2 3" xfId="35" xr:uid="{43B55DED-D094-4168-A897-E994770A7BFD}"/>
    <cellStyle name="Valuta 3 2 3 2" xfId="80" xr:uid="{531FF2FD-7133-4A5F-8390-9882AB3A7CCE}"/>
    <cellStyle name="Valuta 3 2 3 2 2" xfId="265" xr:uid="{2E208028-880B-4BBC-8C26-5F0D582FBCEE}"/>
    <cellStyle name="Valuta 3 2 3 2 3" xfId="449" xr:uid="{369082B3-0E2E-442B-8311-A7C7DFAE5C87}"/>
    <cellStyle name="Valuta 3 2 3 3" xfId="125" xr:uid="{B2D5D052-FA11-4B06-9292-FFDEEEABAEDC}"/>
    <cellStyle name="Valuta 3 2 3 3 2" xfId="310" xr:uid="{8D585892-FD32-454D-BC50-5B7BD43D4411}"/>
    <cellStyle name="Valuta 3 2 3 3 3" xfId="494" xr:uid="{882471D9-2A5F-43A6-A564-29759A06F249}"/>
    <cellStyle name="Valuta 3 2 3 4" xfId="170" xr:uid="{9ECC9342-9FEA-43F4-BF96-BE8B431945AE}"/>
    <cellStyle name="Valuta 3 2 3 4 2" xfId="355" xr:uid="{A9B02415-3DD4-4EB0-B394-1657AA74F3FD}"/>
    <cellStyle name="Valuta 3 2 3 4 3" xfId="539" xr:uid="{BFA50689-214D-43FC-8F45-F4DA2C8C1FEE}"/>
    <cellStyle name="Valuta 3 2 3 5" xfId="220" xr:uid="{AC70F476-4919-4249-BF54-D327915AD951}"/>
    <cellStyle name="Valuta 3 2 3 6" xfId="404" xr:uid="{DA1DD08C-DD1D-49F7-B4BB-A875DE6C9FA4}"/>
    <cellStyle name="Valuta 3 2 4" xfId="47" xr:uid="{7B4B275A-201A-4C04-B73D-0DB12D357A15}"/>
    <cellStyle name="Valuta 3 2 4 2" xfId="92" xr:uid="{8A969569-E4B1-45EF-ACBB-2F7099CBB7E1}"/>
    <cellStyle name="Valuta 3 2 4 2 2" xfId="277" xr:uid="{C1E82C6A-324E-441F-9D96-BB876A89E96E}"/>
    <cellStyle name="Valuta 3 2 4 2 3" xfId="461" xr:uid="{2A5211A3-4E12-4518-AE39-D8B5F9B4DD15}"/>
    <cellStyle name="Valuta 3 2 4 3" xfId="137" xr:uid="{ADE0BEDE-2629-4C20-AEA2-C1C770CBA031}"/>
    <cellStyle name="Valuta 3 2 4 3 2" xfId="322" xr:uid="{C53577DF-3E28-4303-B4BB-F8B7393246A5}"/>
    <cellStyle name="Valuta 3 2 4 3 3" xfId="506" xr:uid="{7E9343CD-FA47-4012-A0A0-4EE63E476163}"/>
    <cellStyle name="Valuta 3 2 4 4" xfId="182" xr:uid="{B7B24740-4CDB-4C73-A9A9-6FB3A235EB54}"/>
    <cellStyle name="Valuta 3 2 4 4 2" xfId="367" xr:uid="{B71D4BEA-4176-4983-92DA-CDCD25C3D88B}"/>
    <cellStyle name="Valuta 3 2 4 4 3" xfId="551" xr:uid="{7A727F9C-1F5F-44F5-83AA-F5A26B4B6F73}"/>
    <cellStyle name="Valuta 3 2 4 5" xfId="232" xr:uid="{D891150E-7D7F-4E42-AF47-9D4A244C51B6}"/>
    <cellStyle name="Valuta 3 2 4 6" xfId="416" xr:uid="{857F0CFB-C706-4528-9DF1-697A10D1C967}"/>
    <cellStyle name="Valuta 3 2 5" xfId="58" xr:uid="{49DA5490-4D4E-49D4-A21B-E6100E1E7A59}"/>
    <cellStyle name="Valuta 3 2 5 2" xfId="243" xr:uid="{D4AE32F2-67D0-4C00-BEF9-DC81D76AA8F7}"/>
    <cellStyle name="Valuta 3 2 5 3" xfId="427" xr:uid="{718A985C-B5E4-432D-B590-CAEEB1C67C35}"/>
    <cellStyle name="Valuta 3 2 6" xfId="103" xr:uid="{6070AA1C-DBF7-48AE-9891-D1E97E6E66AF}"/>
    <cellStyle name="Valuta 3 2 6 2" xfId="288" xr:uid="{101920E6-FC09-47D5-B8FE-314DB515640A}"/>
    <cellStyle name="Valuta 3 2 6 3" xfId="472" xr:uid="{F71BA2E1-AFF9-468C-AE49-FD125D00EE54}"/>
    <cellStyle name="Valuta 3 2 7" xfId="148" xr:uid="{5DCA9CBA-9C0F-42F9-B8CD-F9A93F1ED6DA}"/>
    <cellStyle name="Valuta 3 2 7 2" xfId="333" xr:uid="{9F93E8B3-0409-4C9A-82DD-64B4F6C8635B}"/>
    <cellStyle name="Valuta 3 2 7 3" xfId="517" xr:uid="{18D49901-4834-4A9A-B34D-2A8F490C8FB6}"/>
    <cellStyle name="Valuta 3 2 8" xfId="198" xr:uid="{BF54F9DA-F9CF-499F-90CE-A0B3268E448D}"/>
    <cellStyle name="Valuta 3 2 9" xfId="382" xr:uid="{0BA258BC-1C16-4792-943E-A74CCA745719}"/>
    <cellStyle name="Valuta 3 3" xfId="19" xr:uid="{FB467691-6C98-44D1-A5F0-B78CFAB4BDF9}"/>
    <cellStyle name="Valuta 3 3 2" xfId="64" xr:uid="{0C8E20CA-EC13-469F-8FDA-5AA8ED89E7A5}"/>
    <cellStyle name="Valuta 3 3 2 2" xfId="249" xr:uid="{A15FB2BA-0144-489C-B885-9E1B4EC894B9}"/>
    <cellStyle name="Valuta 3 3 2 3" xfId="433" xr:uid="{77AB6FAB-122B-4D3D-95A6-0E7DC140257A}"/>
    <cellStyle name="Valuta 3 3 3" xfId="109" xr:uid="{093BDC5C-7EC4-4157-9B56-EDA60EBBC2DE}"/>
    <cellStyle name="Valuta 3 3 3 2" xfId="294" xr:uid="{A913F245-0CAE-41C5-9CF5-7EB8C7F365F6}"/>
    <cellStyle name="Valuta 3 3 3 3" xfId="478" xr:uid="{10D01468-4495-424F-8D66-1406106D64BC}"/>
    <cellStyle name="Valuta 3 3 4" xfId="154" xr:uid="{808FCD63-7A79-4DB9-9453-C3E7CCE7E932}"/>
    <cellStyle name="Valuta 3 3 4 2" xfId="339" xr:uid="{88719E1C-A6A1-482B-864E-6CF24DC8DC2C}"/>
    <cellStyle name="Valuta 3 3 4 3" xfId="523" xr:uid="{F09CB3B3-C0F7-403D-AC2D-211A348739E6}"/>
    <cellStyle name="Valuta 3 3 5" xfId="204" xr:uid="{CD9A606F-60D1-4E48-9D3E-83C062B1812B}"/>
    <cellStyle name="Valuta 3 3 6" xfId="388" xr:uid="{8C488E21-7353-44C3-8D17-D36304C3F84F}"/>
    <cellStyle name="Valuta 3 4" xfId="30" xr:uid="{A0C9AB71-75C1-4E5E-9E5C-8DB709C26BA4}"/>
    <cellStyle name="Valuta 3 4 2" xfId="75" xr:uid="{9CE5FF14-4A9E-48A9-A766-108C86C9077F}"/>
    <cellStyle name="Valuta 3 4 2 2" xfId="260" xr:uid="{D870FCD9-CCB6-4B5E-9834-6495B2BC4C77}"/>
    <cellStyle name="Valuta 3 4 2 3" xfId="444" xr:uid="{2C39F7CF-A12E-4F6F-92D2-1F8C327455BB}"/>
    <cellStyle name="Valuta 3 4 3" xfId="120" xr:uid="{B15766E0-63CA-4E8D-ADAC-15276484FFC7}"/>
    <cellStyle name="Valuta 3 4 3 2" xfId="305" xr:uid="{3B2124CB-5B1B-4578-91B8-4FE533C58596}"/>
    <cellStyle name="Valuta 3 4 3 3" xfId="489" xr:uid="{3909388B-233D-4AB3-8EE2-6788110CA7CF}"/>
    <cellStyle name="Valuta 3 4 4" xfId="165" xr:uid="{1A28FF3F-F128-4935-9C33-2205F901BED7}"/>
    <cellStyle name="Valuta 3 4 4 2" xfId="350" xr:uid="{3E8F72B7-C16B-4D99-8103-AF9909C831DB}"/>
    <cellStyle name="Valuta 3 4 4 3" xfId="534" xr:uid="{21943BC0-BFF2-4DB6-ADF8-8EE9DF8F8C95}"/>
    <cellStyle name="Valuta 3 4 5" xfId="215" xr:uid="{707BAC5D-60D8-466E-A171-AD6CF0C3A7DC}"/>
    <cellStyle name="Valuta 3 4 6" xfId="399" xr:uid="{08D6D9D9-ABF7-4C20-8126-EB72C327714D}"/>
    <cellStyle name="Valuta 3 5" xfId="42" xr:uid="{25C311E8-F863-4724-9578-4091AED71D36}"/>
    <cellStyle name="Valuta 3 5 2" xfId="87" xr:uid="{140F4CAE-94A2-461F-B1AA-CE8FF6A7515D}"/>
    <cellStyle name="Valuta 3 5 2 2" xfId="272" xr:uid="{D20632EA-82DC-4A44-B6B8-D70FA7727718}"/>
    <cellStyle name="Valuta 3 5 2 3" xfId="456" xr:uid="{1DF853DF-308C-4987-A61E-CEBAB9B40A7E}"/>
    <cellStyle name="Valuta 3 5 3" xfId="132" xr:uid="{72C885B3-C8B7-4493-9EEC-C5530FCFE617}"/>
    <cellStyle name="Valuta 3 5 3 2" xfId="317" xr:uid="{D35B8427-4ECC-4AAC-88AA-2918C887EFAC}"/>
    <cellStyle name="Valuta 3 5 3 3" xfId="501" xr:uid="{838F2AE5-6CFC-4E9F-86F2-F56E50AF8763}"/>
    <cellStyle name="Valuta 3 5 4" xfId="177" xr:uid="{ADA2511A-CB9B-440E-A982-E127AC50E5EF}"/>
    <cellStyle name="Valuta 3 5 4 2" xfId="362" xr:uid="{93F42E7C-4AB5-4558-B802-2B2A88FB7556}"/>
    <cellStyle name="Valuta 3 5 4 3" xfId="546" xr:uid="{9F496FBF-74E0-49D5-B6F8-5FE09D081904}"/>
    <cellStyle name="Valuta 3 5 5" xfId="227" xr:uid="{1C63BD05-BFAC-47F5-BB71-A4FE25B78DBF}"/>
    <cellStyle name="Valuta 3 5 6" xfId="411" xr:uid="{EE7C4CC3-D53C-4409-B924-CACE1C8D4139}"/>
    <cellStyle name="Valuta 3 6" xfId="53" xr:uid="{4F90DF26-27A8-4103-A764-940524AD3A73}"/>
    <cellStyle name="Valuta 3 6 2" xfId="238" xr:uid="{6AD8295C-0BE7-4045-879B-DB7D73A0CD62}"/>
    <cellStyle name="Valuta 3 6 3" xfId="422" xr:uid="{920A762D-180A-4733-B60E-FCB678CDE6F8}"/>
    <cellStyle name="Valuta 3 7" xfId="98" xr:uid="{AD40E2A0-7564-4378-B7CB-AAE548BCA186}"/>
    <cellStyle name="Valuta 3 7 2" xfId="283" xr:uid="{1393E13E-E739-4D19-BA6E-D85B5634EE55}"/>
    <cellStyle name="Valuta 3 7 3" xfId="467" xr:uid="{A7109BDE-BE1C-48BE-B730-63605F4B0034}"/>
    <cellStyle name="Valuta 3 8" xfId="143" xr:uid="{0533C473-5BDD-4A8C-9341-D7AD2F524A18}"/>
    <cellStyle name="Valuta 3 8 2" xfId="328" xr:uid="{DB7AD458-A81B-4B67-8AAD-5F7F1E8680C4}"/>
    <cellStyle name="Valuta 3 8 3" xfId="512" xr:uid="{698BA2B8-2D1B-4293-B81C-C367331F14C7}"/>
    <cellStyle name="Valuta 3 9" xfId="8" xr:uid="{F3E5C3A7-935F-4BDC-ACB0-A5CFDBD6EDB2}"/>
    <cellStyle name="Valuta 3 9 2" xfId="193" xr:uid="{87F073CF-B836-4D87-8DAE-988E259D07AC}"/>
    <cellStyle name="Valuta 3 9 3" xfId="377" xr:uid="{3BCD89B4-072E-4208-960A-6EF93821A2FF}"/>
    <cellStyle name="Valuta 4" xfId="7" xr:uid="{2290A239-63C8-4EDF-A3C2-F5F9C9004108}"/>
    <cellStyle name="Valuta 4 10" xfId="192" xr:uid="{9C12DF5A-7B7D-4ECC-AE1B-5DF57B3CADC1}"/>
    <cellStyle name="Valuta 4 11" xfId="376" xr:uid="{60993238-C00B-436D-AD81-C6E040D51AA7}"/>
    <cellStyle name="Valuta 4 2" xfId="15" xr:uid="{C5A75EB9-7D44-4C0F-A9AC-74F33A48C81E}"/>
    <cellStyle name="Valuta 4 2 2" xfId="26" xr:uid="{F97533C7-0DD2-428E-91C5-A1BFFF3CB185}"/>
    <cellStyle name="Valuta 4 2 2 2" xfId="71" xr:uid="{ED2C9148-2647-4DAE-BBA9-1B18C85FB91D}"/>
    <cellStyle name="Valuta 4 2 2 2 2" xfId="256" xr:uid="{A404094D-C279-4DD0-BCC4-2608120C2060}"/>
    <cellStyle name="Valuta 4 2 2 2 3" xfId="440" xr:uid="{A1945F59-8E69-4857-AB4C-4210B0FB666B}"/>
    <cellStyle name="Valuta 4 2 2 3" xfId="116" xr:uid="{3B464F5D-96FF-45D9-BDB2-75E835BE996E}"/>
    <cellStyle name="Valuta 4 2 2 3 2" xfId="301" xr:uid="{C47D5114-862B-41A3-A141-7C261819E4A1}"/>
    <cellStyle name="Valuta 4 2 2 3 3" xfId="485" xr:uid="{797764EF-7A37-44F5-937E-B06951786866}"/>
    <cellStyle name="Valuta 4 2 2 4" xfId="161" xr:uid="{C9911FFF-4D3F-4A0C-A3F0-E06B7285A9AC}"/>
    <cellStyle name="Valuta 4 2 2 4 2" xfId="346" xr:uid="{5C9C6954-D847-467C-8578-6D1C325ED759}"/>
    <cellStyle name="Valuta 4 2 2 4 3" xfId="530" xr:uid="{60181534-72E0-47D8-931A-AF527B21A290}"/>
    <cellStyle name="Valuta 4 2 2 5" xfId="211" xr:uid="{FE6A681F-A821-49F0-A103-6773178197C6}"/>
    <cellStyle name="Valuta 4 2 2 6" xfId="395" xr:uid="{405CA44A-BD55-4D52-B3DB-0F6DED2C3256}"/>
    <cellStyle name="Valuta 4 2 3" xfId="37" xr:uid="{023B70A0-1801-4B8D-BCD4-C7B0A675429B}"/>
    <cellStyle name="Valuta 4 2 3 2" xfId="82" xr:uid="{483A85AC-5E0A-4271-9035-4DF7F75252A8}"/>
    <cellStyle name="Valuta 4 2 3 2 2" xfId="267" xr:uid="{7432CA37-58A2-4877-9B20-8069A69BF0A6}"/>
    <cellStyle name="Valuta 4 2 3 2 3" xfId="451" xr:uid="{07DE2C77-D558-4CB1-847E-6321F2C343BA}"/>
    <cellStyle name="Valuta 4 2 3 3" xfId="127" xr:uid="{F8C7A1D3-E5FE-4BAC-A626-6CF6D6A9A901}"/>
    <cellStyle name="Valuta 4 2 3 3 2" xfId="312" xr:uid="{7A0AF73A-BEB9-481B-921C-628C61C1B7DF}"/>
    <cellStyle name="Valuta 4 2 3 3 3" xfId="496" xr:uid="{F8D7B01B-9EED-4CC7-82B1-CE13006E8E8E}"/>
    <cellStyle name="Valuta 4 2 3 4" xfId="172" xr:uid="{538298CA-1273-451A-AEE2-82E9847E22C4}"/>
    <cellStyle name="Valuta 4 2 3 4 2" xfId="357" xr:uid="{5BB9FA70-F5C2-413B-AAE8-DF789CE66B29}"/>
    <cellStyle name="Valuta 4 2 3 4 3" xfId="541" xr:uid="{C755ACCF-AD37-40F9-9CED-639F50207AC1}"/>
    <cellStyle name="Valuta 4 2 3 5" xfId="222" xr:uid="{9C5AAEF9-A3A1-4F41-98A2-CACDB584DB8A}"/>
    <cellStyle name="Valuta 4 2 3 6" xfId="406" xr:uid="{171BD349-4EC1-45FB-A3F3-0735284C48B7}"/>
    <cellStyle name="Valuta 4 2 4" xfId="49" xr:uid="{1D57EB96-0FBA-4BBC-ADAA-B67B38C5ABF7}"/>
    <cellStyle name="Valuta 4 2 4 2" xfId="94" xr:uid="{B2E7FA71-7928-471D-BB7A-12488B8D8F1E}"/>
    <cellStyle name="Valuta 4 2 4 2 2" xfId="279" xr:uid="{DE7F31F2-A426-4AA1-98C5-851D7BA58C58}"/>
    <cellStyle name="Valuta 4 2 4 2 3" xfId="463" xr:uid="{5003CE1B-0C27-49ED-9E0F-7BAC96E329DE}"/>
    <cellStyle name="Valuta 4 2 4 3" xfId="139" xr:uid="{1D0D50E8-9492-43E3-9E37-2E00AC7734A7}"/>
    <cellStyle name="Valuta 4 2 4 3 2" xfId="324" xr:uid="{2DD9A431-D865-403C-B285-498BFB88D9A2}"/>
    <cellStyle name="Valuta 4 2 4 3 3" xfId="508" xr:uid="{E70AEEB7-01ED-497F-8D02-2F5E2D466FAA}"/>
    <cellStyle name="Valuta 4 2 4 4" xfId="184" xr:uid="{EFEA29B7-2B36-4817-8641-8409B17DE907}"/>
    <cellStyle name="Valuta 4 2 4 4 2" xfId="369" xr:uid="{485099DB-1CE6-49CD-8E79-3EF00A533586}"/>
    <cellStyle name="Valuta 4 2 4 4 3" xfId="553" xr:uid="{AA4FFAD0-2C99-4A24-9D59-04540FE1E768}"/>
    <cellStyle name="Valuta 4 2 4 5" xfId="234" xr:uid="{1B51AC52-C0BB-4810-BCE3-C82C2659AB12}"/>
    <cellStyle name="Valuta 4 2 4 6" xfId="418" xr:uid="{DC135669-E3EF-4F82-8835-BECDB318350D}"/>
    <cellStyle name="Valuta 4 2 5" xfId="60" xr:uid="{17960518-158E-4225-A36F-F9E73D247BE0}"/>
    <cellStyle name="Valuta 4 2 5 2" xfId="245" xr:uid="{7882EE3A-8DA4-454A-8A12-DB68CCDE19D0}"/>
    <cellStyle name="Valuta 4 2 5 3" xfId="429" xr:uid="{7C1246E8-62A8-42F0-BB33-2AA29FFE112E}"/>
    <cellStyle name="Valuta 4 2 6" xfId="105" xr:uid="{BC866658-1184-4976-83E0-99AECB6EA89F}"/>
    <cellStyle name="Valuta 4 2 6 2" xfId="290" xr:uid="{46FD49DA-7939-49FD-B24F-E8F7003900D7}"/>
    <cellStyle name="Valuta 4 2 6 3" xfId="474" xr:uid="{11BB1FC7-BFF2-4288-ACAB-63C768C5DF23}"/>
    <cellStyle name="Valuta 4 2 7" xfId="150" xr:uid="{907648BE-4758-4EB9-8D6A-54C50117C63F}"/>
    <cellStyle name="Valuta 4 2 7 2" xfId="335" xr:uid="{DC4533ED-33CA-4960-8540-F2892166586E}"/>
    <cellStyle name="Valuta 4 2 7 3" xfId="519" xr:uid="{EE3906BC-692A-4957-92CF-ED063283B759}"/>
    <cellStyle name="Valuta 4 2 8" xfId="200" xr:uid="{FA746A75-1FBF-4CE2-916B-660C7B5B8257}"/>
    <cellStyle name="Valuta 4 2 9" xfId="384" xr:uid="{8F1FB096-F179-4356-9736-7BC8F7E48774}"/>
    <cellStyle name="Valuta 4 3" xfId="21" xr:uid="{D8475BF1-E46B-4C96-BC7C-CB9B45E080C9}"/>
    <cellStyle name="Valuta 4 3 2" xfId="66" xr:uid="{CF904B04-C7C5-4148-ADA9-8DBEC5B1D0D1}"/>
    <cellStyle name="Valuta 4 3 2 2" xfId="251" xr:uid="{BCD17C46-7D1A-4C4D-A8FA-CE0007BF6458}"/>
    <cellStyle name="Valuta 4 3 2 3" xfId="435" xr:uid="{E74F40AA-8E79-430C-A290-5333826B8546}"/>
    <cellStyle name="Valuta 4 3 3" xfId="111" xr:uid="{D147644B-9E2B-4D40-BFBC-E622D2CFF9C7}"/>
    <cellStyle name="Valuta 4 3 3 2" xfId="296" xr:uid="{28A4B602-A80A-405D-9960-4A6A854AFC11}"/>
    <cellStyle name="Valuta 4 3 3 3" xfId="480" xr:uid="{A3F4416D-DB68-4C68-9793-3696D11E91EC}"/>
    <cellStyle name="Valuta 4 3 4" xfId="156" xr:uid="{2203EFDD-CEBB-477F-9631-5274318E5121}"/>
    <cellStyle name="Valuta 4 3 4 2" xfId="341" xr:uid="{2FE832FD-CCF4-4A9C-85A2-5C3D73B3FD3C}"/>
    <cellStyle name="Valuta 4 3 4 3" xfId="525" xr:uid="{5747547D-D51C-4BFF-9A60-D3B1955C1850}"/>
    <cellStyle name="Valuta 4 3 5" xfId="206" xr:uid="{2C07862E-85A6-425E-AC69-C01EEA6B25BA}"/>
    <cellStyle name="Valuta 4 3 6" xfId="390" xr:uid="{35E9C72B-6304-47E0-AB01-446AD5892B61}"/>
    <cellStyle name="Valuta 4 4" xfId="32" xr:uid="{D441D844-D52E-4A4B-9CF0-B7C5A7D3808B}"/>
    <cellStyle name="Valuta 4 4 2" xfId="77" xr:uid="{DF3041DA-5D0C-445F-B3D5-F141A4204558}"/>
    <cellStyle name="Valuta 4 4 2 2" xfId="262" xr:uid="{BA8DC0B6-7822-4F27-B6E9-021725A20CFA}"/>
    <cellStyle name="Valuta 4 4 2 3" xfId="446" xr:uid="{FCAB2916-215F-43B2-85F9-D3F65F757026}"/>
    <cellStyle name="Valuta 4 4 3" xfId="122" xr:uid="{3E2630C5-F403-49A8-A9D5-EAA8B108B8E9}"/>
    <cellStyle name="Valuta 4 4 3 2" xfId="307" xr:uid="{A9831652-81FC-47F9-B6F9-7D329A86E94F}"/>
    <cellStyle name="Valuta 4 4 3 3" xfId="491" xr:uid="{338DEF72-13D9-4B96-A37C-A844A9426DCD}"/>
    <cellStyle name="Valuta 4 4 4" xfId="167" xr:uid="{72B45B21-F564-4154-AD2E-F4A0CB39C697}"/>
    <cellStyle name="Valuta 4 4 4 2" xfId="352" xr:uid="{F74E1533-9253-44E9-9925-F79B5AC4A171}"/>
    <cellStyle name="Valuta 4 4 4 3" xfId="536" xr:uid="{FCAA59CA-FCF6-40DD-AEFF-835EE7C94AC0}"/>
    <cellStyle name="Valuta 4 4 5" xfId="217" xr:uid="{6E0433E1-633F-4B7E-8DE5-FF5147773F7D}"/>
    <cellStyle name="Valuta 4 4 6" xfId="401" xr:uid="{1E3377D4-239D-4721-BCB0-903C87C7C737}"/>
    <cellStyle name="Valuta 4 5" xfId="44" xr:uid="{C4AF8F62-1325-4B6B-8417-1BF049BA066E}"/>
    <cellStyle name="Valuta 4 5 2" xfId="89" xr:uid="{3AE1C366-A1C6-4F89-A299-68C24D73CD80}"/>
    <cellStyle name="Valuta 4 5 2 2" xfId="274" xr:uid="{22181DD3-EA03-4C80-A216-2955EA245158}"/>
    <cellStyle name="Valuta 4 5 2 3" xfId="458" xr:uid="{E5A29E1B-0B2C-4E39-98B9-B00A08AB3AE5}"/>
    <cellStyle name="Valuta 4 5 3" xfId="134" xr:uid="{7BD04D57-A026-4ACC-B4A8-CC8372992FFE}"/>
    <cellStyle name="Valuta 4 5 3 2" xfId="319" xr:uid="{B4308851-75FD-421B-BF46-274AEEDF8C82}"/>
    <cellStyle name="Valuta 4 5 3 3" xfId="503" xr:uid="{90C2DE62-37E6-469F-BEE2-A862B992E85F}"/>
    <cellStyle name="Valuta 4 5 4" xfId="179" xr:uid="{765F934D-41BB-4182-A732-9B6C3272C3E7}"/>
    <cellStyle name="Valuta 4 5 4 2" xfId="364" xr:uid="{9662BB21-C1BD-4640-AC73-6F6EBF261B2B}"/>
    <cellStyle name="Valuta 4 5 4 3" xfId="548" xr:uid="{BDD4CA93-7AAE-430C-9092-A844DB506232}"/>
    <cellStyle name="Valuta 4 5 5" xfId="229" xr:uid="{3B721696-0C43-46F4-8055-366005D830F6}"/>
    <cellStyle name="Valuta 4 5 6" xfId="413" xr:uid="{96B3FFC7-F13B-4E08-B243-1579652804F3}"/>
    <cellStyle name="Valuta 4 6" xfId="55" xr:uid="{8DA0F143-AEE1-41F1-B452-185B16820680}"/>
    <cellStyle name="Valuta 4 6 2" xfId="240" xr:uid="{0DEC8C2D-AB83-4251-BFC9-D81E589CAE3E}"/>
    <cellStyle name="Valuta 4 6 3" xfId="424" xr:uid="{BC1AA110-81BD-4075-BFAF-500B4C5CC6B0}"/>
    <cellStyle name="Valuta 4 7" xfId="100" xr:uid="{826188DF-78D3-4212-891D-FC2E66D8E59A}"/>
    <cellStyle name="Valuta 4 7 2" xfId="285" xr:uid="{344489E0-3D3F-452F-B728-715FB88F68A9}"/>
    <cellStyle name="Valuta 4 7 3" xfId="469" xr:uid="{4B1FE493-CCBC-4896-8BEA-4132DDAAE66B}"/>
    <cellStyle name="Valuta 4 8" xfId="145" xr:uid="{FF19BD3B-74D2-4119-8096-810E3BF60916}"/>
    <cellStyle name="Valuta 4 8 2" xfId="330" xr:uid="{61AB49B3-DFAB-4288-AC1F-47FA1380D713}"/>
    <cellStyle name="Valuta 4 8 3" xfId="514" xr:uid="{38518FD4-2566-4A2D-B869-656F04A2097D}"/>
    <cellStyle name="Valuta 4 9" xfId="10" xr:uid="{77EE148B-D6DE-43CB-AD24-431181DAAE98}"/>
    <cellStyle name="Valuta 4 9 2" xfId="195" xr:uid="{47996DF1-A32A-418A-B251-7930E9C5910E}"/>
    <cellStyle name="Valuta 4 9 3" xfId="379" xr:uid="{2DC1B347-548F-4E30-89D4-A61808765162}"/>
    <cellStyle name="Valuta 5" xfId="11" xr:uid="{EF5670D7-9572-4753-B7FE-F812E7D76A36}"/>
    <cellStyle name="Valuta 5 2" xfId="22" xr:uid="{514A3B39-68D7-4146-879A-CAA4B31C4AE9}"/>
    <cellStyle name="Valuta 5 2 2" xfId="67" xr:uid="{3E97C233-EF54-45FC-8B81-3D7A2210644D}"/>
    <cellStyle name="Valuta 5 2 2 2" xfId="252" xr:uid="{B7A1D416-8AA5-4B21-825F-796A233F9614}"/>
    <cellStyle name="Valuta 5 2 2 3" xfId="436" xr:uid="{FC7E5883-3720-430A-BBCC-FC86F0954CB4}"/>
    <cellStyle name="Valuta 5 2 3" xfId="112" xr:uid="{1E13CA12-71F5-4F71-AF62-F2425103B520}"/>
    <cellStyle name="Valuta 5 2 3 2" xfId="297" xr:uid="{95EC9519-A45D-4A49-8CF6-AB7034FCEB9F}"/>
    <cellStyle name="Valuta 5 2 3 3" xfId="481" xr:uid="{E2673630-4B99-4934-ADF2-6F13313DE011}"/>
    <cellStyle name="Valuta 5 2 4" xfId="157" xr:uid="{E8BC6B81-65DE-4DC3-AD1D-8EFDC33083E5}"/>
    <cellStyle name="Valuta 5 2 4 2" xfId="342" xr:uid="{44A8418F-9FBF-4BF9-81E3-99FCF1F9B8AC}"/>
    <cellStyle name="Valuta 5 2 4 3" xfId="526" xr:uid="{5977F23A-8333-4B8B-B5B4-6665EA3BE72F}"/>
    <cellStyle name="Valuta 5 2 5" xfId="207" xr:uid="{A7F99E3E-144C-4974-9186-B9772C437D53}"/>
    <cellStyle name="Valuta 5 2 6" xfId="391" xr:uid="{5EE16B8E-E4AB-43D3-9FA4-0CB718F339D9}"/>
    <cellStyle name="Valuta 5 3" xfId="33" xr:uid="{F20883F3-2D39-44BF-B1D4-795697045979}"/>
    <cellStyle name="Valuta 5 3 2" xfId="78" xr:uid="{D448909A-9D02-4BAF-A33F-E1473AB944C3}"/>
    <cellStyle name="Valuta 5 3 2 2" xfId="263" xr:uid="{12901CEE-F6D5-4A43-B4E8-5166C66833B0}"/>
    <cellStyle name="Valuta 5 3 2 3" xfId="447" xr:uid="{545C4631-F5A0-484E-8DF5-44A11D52276C}"/>
    <cellStyle name="Valuta 5 3 3" xfId="123" xr:uid="{81682296-D320-43FC-B4DF-1605EBBB46F7}"/>
    <cellStyle name="Valuta 5 3 3 2" xfId="308" xr:uid="{2774919A-AB9D-4ED6-834B-543703062E23}"/>
    <cellStyle name="Valuta 5 3 3 3" xfId="492" xr:uid="{FFCF3088-928B-4C45-8D91-4F0B33694753}"/>
    <cellStyle name="Valuta 5 3 4" xfId="168" xr:uid="{E0E47036-7710-4A45-80A8-E1A1C32B7CFC}"/>
    <cellStyle name="Valuta 5 3 4 2" xfId="353" xr:uid="{081BD3CB-C8C6-486F-8961-ADF7CABD5A47}"/>
    <cellStyle name="Valuta 5 3 4 3" xfId="537" xr:uid="{3E9BE39B-7A87-4B8F-8946-AF893710184E}"/>
    <cellStyle name="Valuta 5 3 5" xfId="218" xr:uid="{D9766C1B-6D7B-4ECD-A09D-00E8A1DC26DA}"/>
    <cellStyle name="Valuta 5 3 6" xfId="402" xr:uid="{6F97A6E7-9026-4172-84CF-5EF8CBE3DDEF}"/>
    <cellStyle name="Valuta 5 4" xfId="45" xr:uid="{8B570070-E6BE-482A-B997-FC0FEB7A4618}"/>
    <cellStyle name="Valuta 5 4 2" xfId="90" xr:uid="{75F95F43-25BC-413D-8591-4CA212CACFB2}"/>
    <cellStyle name="Valuta 5 4 2 2" xfId="275" xr:uid="{9AEAF2AB-8749-4065-B87C-42A5FDF20B6A}"/>
    <cellStyle name="Valuta 5 4 2 3" xfId="459" xr:uid="{09AB0B85-CBFF-496C-A341-05A0A3A26912}"/>
    <cellStyle name="Valuta 5 4 3" xfId="135" xr:uid="{C29B626F-07F7-4C2B-9A06-B8D0909EE95A}"/>
    <cellStyle name="Valuta 5 4 3 2" xfId="320" xr:uid="{5D8CF88F-B634-4533-A86F-66FC02294662}"/>
    <cellStyle name="Valuta 5 4 3 3" xfId="504" xr:uid="{7E5083B0-FD7E-470E-9772-AE6B5D455EB6}"/>
    <cellStyle name="Valuta 5 4 4" xfId="180" xr:uid="{C533E9F9-DFA0-4F7B-94F6-FA19D413B334}"/>
    <cellStyle name="Valuta 5 4 4 2" xfId="365" xr:uid="{780E194F-EC7D-4DA5-953B-216EBFE326F5}"/>
    <cellStyle name="Valuta 5 4 4 3" xfId="549" xr:uid="{CBF8222B-8FEF-4C03-A750-6E9C151CA119}"/>
    <cellStyle name="Valuta 5 4 5" xfId="230" xr:uid="{8E4404EA-C3D4-4FBD-8038-2F353229519E}"/>
    <cellStyle name="Valuta 5 4 6" xfId="414" xr:uid="{657A3E1A-1507-4481-A249-B024FFB8488F}"/>
    <cellStyle name="Valuta 5 5" xfId="56" xr:uid="{3C4BAA20-171E-4944-9535-8CF0EA8753FE}"/>
    <cellStyle name="Valuta 5 5 2" xfId="241" xr:uid="{5C0271CB-5FA9-4920-8EB4-2B3DDD7E3EF7}"/>
    <cellStyle name="Valuta 5 5 3" xfId="425" xr:uid="{5C179D9D-39B6-4A55-911B-63F0E31E85A7}"/>
    <cellStyle name="Valuta 5 6" xfId="101" xr:uid="{4AA408CA-DD5C-497B-9304-4FEEAB280283}"/>
    <cellStyle name="Valuta 5 6 2" xfId="286" xr:uid="{EFF1D962-0637-4C3F-B6F1-69EC1815E008}"/>
    <cellStyle name="Valuta 5 6 3" xfId="470" xr:uid="{21E03C2B-CD03-4A4F-8161-CFF1AC486CEE}"/>
    <cellStyle name="Valuta 5 7" xfId="146" xr:uid="{BDC6EBC3-99FA-4FE0-A83F-6FF71DB5773F}"/>
    <cellStyle name="Valuta 5 7 2" xfId="331" xr:uid="{131853BE-1A0C-4868-A5AA-D145B2B0128D}"/>
    <cellStyle name="Valuta 5 7 3" xfId="515" xr:uid="{A1ACBAF9-DD3D-4433-8788-6B31F4F391ED}"/>
    <cellStyle name="Valuta 5 8" xfId="196" xr:uid="{AC8B7019-28C7-4293-8323-CC06EBFFBDB5}"/>
    <cellStyle name="Valuta 5 9" xfId="380" xr:uid="{0A13AEB5-DB8E-4004-9B59-CABD3F150659}"/>
    <cellStyle name="Valuta 6" xfId="16" xr:uid="{602ED93E-726D-4097-8F4A-63528CFBD805}"/>
    <cellStyle name="Valuta 6 2" xfId="27" xr:uid="{ADF0D005-5555-4919-96EF-8EA1F3593F2F}"/>
    <cellStyle name="Valuta 6 2 2" xfId="72" xr:uid="{F8A03970-F79F-4C3E-9853-6D113494C7B0}"/>
    <cellStyle name="Valuta 6 2 2 2" xfId="257" xr:uid="{5F1F5861-D0DC-4049-AEED-CF5336616228}"/>
    <cellStyle name="Valuta 6 2 2 3" xfId="441" xr:uid="{E5B3DFCE-EC68-481F-A9BF-83FA683FDECA}"/>
    <cellStyle name="Valuta 6 2 3" xfId="117" xr:uid="{D5B3189A-A32D-40D0-A909-A7DBC3C80CF1}"/>
    <cellStyle name="Valuta 6 2 3 2" xfId="302" xr:uid="{30BEA95E-8A47-4746-A396-8BD8926BA1A1}"/>
    <cellStyle name="Valuta 6 2 3 3" xfId="486" xr:uid="{A4F5ED28-3333-4034-B720-DF8061FBBE06}"/>
    <cellStyle name="Valuta 6 2 4" xfId="162" xr:uid="{D9616F18-D56B-43FD-B921-D397F7E30D5A}"/>
    <cellStyle name="Valuta 6 2 4 2" xfId="347" xr:uid="{63AAD429-0B3C-4876-9CCA-1E6AC372ADBD}"/>
    <cellStyle name="Valuta 6 2 4 3" xfId="531" xr:uid="{1C6EA4AD-4CF8-4A09-A2B1-6AE0E53840EA}"/>
    <cellStyle name="Valuta 6 2 5" xfId="212" xr:uid="{04E69DF0-8CFC-4DC0-BC71-645EF82A8E99}"/>
    <cellStyle name="Valuta 6 2 6" xfId="396" xr:uid="{F1BAC85D-7F2B-42BC-8232-07A1AB490628}"/>
    <cellStyle name="Valuta 6 3" xfId="38" xr:uid="{0173149D-0D0D-42E8-81F2-6DCA7872312B}"/>
    <cellStyle name="Valuta 6 3 2" xfId="83" xr:uid="{E712A4CD-480D-4102-B814-083EF028506A}"/>
    <cellStyle name="Valuta 6 3 2 2" xfId="268" xr:uid="{A23F1015-6682-484F-90BB-5984AECD1F15}"/>
    <cellStyle name="Valuta 6 3 2 3" xfId="452" xr:uid="{E545C27D-F7D6-4885-B21B-9B0469BF2C0E}"/>
    <cellStyle name="Valuta 6 3 3" xfId="128" xr:uid="{2C48F70A-CD78-4B93-B63A-958713AC90F0}"/>
    <cellStyle name="Valuta 6 3 3 2" xfId="313" xr:uid="{E4491005-BC24-4CD8-855D-4AF8ADBFBB62}"/>
    <cellStyle name="Valuta 6 3 3 3" xfId="497" xr:uid="{4E80A706-004C-4A30-B04F-0521BF1B122E}"/>
    <cellStyle name="Valuta 6 3 4" xfId="173" xr:uid="{870546F9-EC44-4E31-ACD5-96152EBE446D}"/>
    <cellStyle name="Valuta 6 3 4 2" xfId="358" xr:uid="{0D6EB77A-40B3-4D86-8248-3F2DDD539EC9}"/>
    <cellStyle name="Valuta 6 3 4 3" xfId="542" xr:uid="{E70BBE0C-0758-407C-A51E-7B05C72E0808}"/>
    <cellStyle name="Valuta 6 3 5" xfId="223" xr:uid="{42C3A79B-997A-4BD1-A802-182C5567A221}"/>
    <cellStyle name="Valuta 6 3 6" xfId="407" xr:uid="{BA984A64-B630-4941-9207-2D1BD4297F73}"/>
    <cellStyle name="Valuta 6 4" xfId="50" xr:uid="{9CEC75BA-701C-4437-8293-A7DA5BE869A1}"/>
    <cellStyle name="Valuta 6 4 2" xfId="95" xr:uid="{90550EFB-C9FE-4171-A477-FDA3CDB3F942}"/>
    <cellStyle name="Valuta 6 4 2 2" xfId="280" xr:uid="{17DD1DDF-F54E-49AD-8933-5ACCB26B6CED}"/>
    <cellStyle name="Valuta 6 4 2 3" xfId="464" xr:uid="{F73F2EE5-15EC-4B81-A100-56CDB67FFB35}"/>
    <cellStyle name="Valuta 6 4 3" xfId="140" xr:uid="{38933200-0EA6-4022-8462-D89774CF6C3C}"/>
    <cellStyle name="Valuta 6 4 3 2" xfId="325" xr:uid="{0EAC9C75-7AEA-4A01-B469-BAAFC22A77BB}"/>
    <cellStyle name="Valuta 6 4 3 3" xfId="509" xr:uid="{F8FD45C0-47A1-4FB0-86EE-689E778D74E7}"/>
    <cellStyle name="Valuta 6 4 4" xfId="185" xr:uid="{80B33889-7F0A-48D1-9455-BD4CA2CD18AB}"/>
    <cellStyle name="Valuta 6 4 4 2" xfId="370" xr:uid="{51DBAD8F-D649-4FA7-8C54-ABFAB411B0B0}"/>
    <cellStyle name="Valuta 6 4 4 3" xfId="554" xr:uid="{46E5AC79-FB5B-4B01-88EB-440B160102DC}"/>
    <cellStyle name="Valuta 6 4 5" xfId="235" xr:uid="{7B9A18A0-F4B1-4ED9-B5EC-A6C77CD56F0D}"/>
    <cellStyle name="Valuta 6 4 6" xfId="419" xr:uid="{36F3BD4B-0E0D-4375-A402-DFE47C704773}"/>
    <cellStyle name="Valuta 6 5" xfId="61" xr:uid="{56527D6B-D3FE-4F79-83B1-9AA4BEC71D56}"/>
    <cellStyle name="Valuta 6 5 2" xfId="246" xr:uid="{06132426-76A6-43AE-A939-CB528BACA7CA}"/>
    <cellStyle name="Valuta 6 5 3" xfId="430" xr:uid="{D2064B10-07E5-4237-B999-5413DF6E4CAF}"/>
    <cellStyle name="Valuta 6 6" xfId="106" xr:uid="{E83E761E-7467-48B6-8CD1-4EE80B9C502A}"/>
    <cellStyle name="Valuta 6 6 2" xfId="291" xr:uid="{ABE3E0CD-5FDE-4E3C-AB66-20AAA78901AC}"/>
    <cellStyle name="Valuta 6 6 3" xfId="475" xr:uid="{8A6A550C-2443-4964-8663-0607BC3DC13C}"/>
    <cellStyle name="Valuta 6 7" xfId="151" xr:uid="{9D9FFD06-EFEE-4B9F-BC12-FDCCF86196BE}"/>
    <cellStyle name="Valuta 6 7 2" xfId="336" xr:uid="{63174CF0-B2BA-4390-9ECB-E929B030CB2A}"/>
    <cellStyle name="Valuta 6 7 3" xfId="520" xr:uid="{079283EC-03CF-4E60-841E-3FADA96A4FC0}"/>
    <cellStyle name="Valuta 6 8" xfId="201" xr:uid="{34E2AEFB-E526-4A2A-8FDE-964B8EDCCFD7}"/>
    <cellStyle name="Valuta 6 9" xfId="385" xr:uid="{C35D4FB8-AEFE-4606-9E3D-35DB4CE644DF}"/>
    <cellStyle name="Valuta 7" xfId="17" xr:uid="{4D245467-EE03-476B-84EF-B8E3686F6BB9}"/>
    <cellStyle name="Valuta 7 2" xfId="62" xr:uid="{F54B7FB1-AF6E-4BDF-8C0D-D51895FE7AE6}"/>
    <cellStyle name="Valuta 7 2 2" xfId="247" xr:uid="{F99B4B9A-5798-4E12-8430-B629C23BDA10}"/>
    <cellStyle name="Valuta 7 2 3" xfId="431" xr:uid="{CB0B13F7-EC2E-42B5-8E41-384417C33BAA}"/>
    <cellStyle name="Valuta 7 3" xfId="107" xr:uid="{227EA812-56A2-4C54-9278-A2198FD85975}"/>
    <cellStyle name="Valuta 7 3 2" xfId="292" xr:uid="{02CF998E-0B1B-4B2C-AE85-FA93A11797D3}"/>
    <cellStyle name="Valuta 7 3 3" xfId="476" xr:uid="{95CD36B2-0277-4D62-911D-F297452487FE}"/>
    <cellStyle name="Valuta 7 4" xfId="152" xr:uid="{BDA23E03-4942-452E-B010-71B58EB93A4D}"/>
    <cellStyle name="Valuta 7 4 2" xfId="337" xr:uid="{6576B1FD-F1FF-411E-A9EA-DC50BC10E932}"/>
    <cellStyle name="Valuta 7 4 3" xfId="521" xr:uid="{985ED35C-2891-4781-B01D-7B216441DE7C}"/>
    <cellStyle name="Valuta 7 5" xfId="202" xr:uid="{4781C659-7D10-4EBE-BF7B-3C6B5B019251}"/>
    <cellStyle name="Valuta 7 6" xfId="386" xr:uid="{09CE1BE1-7EB4-4AD1-A49F-A964EF907BFD}"/>
    <cellStyle name="Valuta 8" xfId="28" xr:uid="{14397FE8-8C7E-42A0-AFA9-0C2459FC3AEC}"/>
    <cellStyle name="Valuta 8 2" xfId="73" xr:uid="{75D9161C-5F72-4695-A3EC-970C0FC2A237}"/>
    <cellStyle name="Valuta 8 2 2" xfId="258" xr:uid="{A1307FB4-C3AE-4E77-B29B-678AE8F87392}"/>
    <cellStyle name="Valuta 8 2 3" xfId="442" xr:uid="{9416FB7D-B735-4394-8F16-639758C7F885}"/>
    <cellStyle name="Valuta 8 3" xfId="118" xr:uid="{4E546EE4-4C68-4FB2-82EB-FA0C8A1C3078}"/>
    <cellStyle name="Valuta 8 3 2" xfId="303" xr:uid="{53421154-0C72-4A48-8F6A-CFFC0DADE9E5}"/>
    <cellStyle name="Valuta 8 3 3" xfId="487" xr:uid="{5F35C20D-DD93-4335-AE52-5A2EC2855230}"/>
    <cellStyle name="Valuta 8 4" xfId="163" xr:uid="{F4F07741-A7F2-496E-8E9A-7754E01297D4}"/>
    <cellStyle name="Valuta 8 4 2" xfId="348" xr:uid="{D226DCE8-9FCF-4485-A1E3-1A9224D6CF36}"/>
    <cellStyle name="Valuta 8 4 3" xfId="532" xr:uid="{F82BA945-FDF5-4D04-AC58-F46C693508BA}"/>
    <cellStyle name="Valuta 8 5" xfId="213" xr:uid="{73F425C1-FE21-4949-AC9B-3E2772E296BE}"/>
    <cellStyle name="Valuta 8 6" xfId="397" xr:uid="{F8BD30ED-A95E-495C-896F-4C4FC2EF4F1C}"/>
    <cellStyle name="Valuta 9" xfId="39" xr:uid="{E992D513-596E-4A1F-BB55-77F5EF763BA7}"/>
    <cellStyle name="Valuta 9 2" xfId="84" xr:uid="{04F5DD27-2AB7-4FD9-B50E-F9F71F2D6989}"/>
    <cellStyle name="Valuta 9 2 2" xfId="269" xr:uid="{222A9FF3-5CBF-4BBA-A16F-54330C8FF6B5}"/>
    <cellStyle name="Valuta 9 2 3" xfId="453" xr:uid="{670BE5AA-B3B4-42E1-914D-27EA6FF4D477}"/>
    <cellStyle name="Valuta 9 3" xfId="129" xr:uid="{4993EDAB-CFD8-49AC-B713-E18D06918D07}"/>
    <cellStyle name="Valuta 9 3 2" xfId="314" xr:uid="{7758F83D-256B-4F4D-8DA6-54A76C2B892F}"/>
    <cellStyle name="Valuta 9 3 3" xfId="498" xr:uid="{48365410-91C9-4246-B525-48F1B277FAC9}"/>
    <cellStyle name="Valuta 9 4" xfId="174" xr:uid="{34BDBB25-1A7D-4150-8A6F-F99AB16F6B6A}"/>
    <cellStyle name="Valuta 9 4 2" xfId="359" xr:uid="{2D8BB02D-A8BA-439C-8AD8-0CDFF523B69C}"/>
    <cellStyle name="Valuta 9 4 3" xfId="543" xr:uid="{D3B9720E-63D5-4106-B75E-C8DBC4B7793E}"/>
    <cellStyle name="Valuta 9 5" xfId="224" xr:uid="{4542DEB9-5606-42C9-9B2D-2201D2F893AF}"/>
    <cellStyle name="Valuta 9 6" xfId="408" xr:uid="{D8A65660-1684-4415-98A3-C37ECE30527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E9B931-4363-4D63-9742-3AF14435EE62}">
  <dimension ref="B1:H138"/>
  <sheetViews>
    <sheetView topLeftCell="A110" zoomScale="95" zoomScaleNormal="95" workbookViewId="0">
      <selection activeCell="G127" sqref="G127"/>
    </sheetView>
  </sheetViews>
  <sheetFormatPr defaultRowHeight="14.4"/>
  <cols>
    <col min="1" max="1" width="3.88671875" customWidth="1"/>
    <col min="2" max="2" width="45.109375" customWidth="1"/>
    <col min="3" max="3" width="65.88671875" customWidth="1"/>
    <col min="4" max="4" width="16.6640625" customWidth="1"/>
    <col min="5" max="5" width="24.88671875" customWidth="1"/>
    <col min="6" max="6" width="15.33203125" customWidth="1"/>
    <col min="7" max="7" width="34.44140625" customWidth="1"/>
    <col min="8" max="8" width="42.6640625" customWidth="1"/>
  </cols>
  <sheetData>
    <row r="1" spans="2:8" ht="20.399999999999999">
      <c r="B1" s="1" t="s">
        <v>0</v>
      </c>
    </row>
    <row r="2" spans="2:8" ht="20.399999999999999">
      <c r="B2" s="1" t="s">
        <v>1</v>
      </c>
    </row>
    <row r="4" spans="2:8" ht="18">
      <c r="B4" s="339" t="s">
        <v>2</v>
      </c>
      <c r="C4" s="339"/>
      <c r="D4" s="339"/>
      <c r="E4" s="339"/>
      <c r="F4" s="339"/>
      <c r="G4" s="339"/>
      <c r="H4" s="339"/>
    </row>
    <row r="5" spans="2:8" ht="18">
      <c r="B5" s="339" t="s">
        <v>189</v>
      </c>
      <c r="C5" s="339"/>
      <c r="D5" s="339"/>
      <c r="E5" s="339"/>
      <c r="F5" s="339"/>
      <c r="G5" s="339"/>
      <c r="H5" s="339"/>
    </row>
    <row r="6" spans="2:8" ht="18">
      <c r="B6" s="340" t="s">
        <v>4</v>
      </c>
      <c r="C6" s="340"/>
      <c r="D6" s="340"/>
      <c r="E6" s="340"/>
      <c r="F6" s="340"/>
      <c r="G6" s="340"/>
      <c r="H6" s="340"/>
    </row>
    <row r="7" spans="2:8" ht="84" customHeight="1">
      <c r="B7" s="94" t="s">
        <v>5</v>
      </c>
      <c r="C7" s="314" t="s">
        <v>6</v>
      </c>
      <c r="D7" s="315"/>
      <c r="E7" s="95" t="s">
        <v>7</v>
      </c>
      <c r="F7" s="95" t="s">
        <v>8</v>
      </c>
      <c r="G7" s="95" t="s">
        <v>9</v>
      </c>
      <c r="H7" s="95" t="s">
        <v>10</v>
      </c>
    </row>
    <row r="8" spans="2:8" ht="33" customHeight="1">
      <c r="B8" s="324" t="s">
        <v>75</v>
      </c>
      <c r="C8" s="338" t="s">
        <v>190</v>
      </c>
      <c r="D8" s="338"/>
      <c r="E8" s="327">
        <v>1081.1300000000001</v>
      </c>
      <c r="F8" s="98">
        <v>6.24</v>
      </c>
      <c r="G8" s="334">
        <v>4</v>
      </c>
      <c r="H8" s="96"/>
    </row>
    <row r="9" spans="2:8" ht="34.950000000000003" customHeight="1">
      <c r="B9" s="325"/>
      <c r="C9" s="338" t="s">
        <v>191</v>
      </c>
      <c r="D9" s="338"/>
      <c r="E9" s="327"/>
      <c r="F9" s="98">
        <v>3.12</v>
      </c>
      <c r="G9" s="334"/>
      <c r="H9" s="96"/>
    </row>
    <row r="10" spans="2:8" ht="37.200000000000003" customHeight="1">
      <c r="B10" s="325"/>
      <c r="C10" s="338" t="s">
        <v>192</v>
      </c>
      <c r="D10" s="338"/>
      <c r="E10" s="327"/>
      <c r="F10" s="98">
        <v>9.09</v>
      </c>
      <c r="G10" s="334"/>
      <c r="H10" s="96"/>
    </row>
    <row r="11" spans="2:8" ht="33" customHeight="1">
      <c r="B11" s="325"/>
      <c r="C11" s="338" t="s">
        <v>193</v>
      </c>
      <c r="D11" s="338"/>
      <c r="E11" s="327"/>
      <c r="F11" s="98">
        <v>4.54</v>
      </c>
      <c r="G11" s="334"/>
      <c r="H11" s="96"/>
    </row>
    <row r="12" spans="2:8" ht="38.4" customHeight="1">
      <c r="B12" s="325"/>
      <c r="C12" s="338" t="s">
        <v>194</v>
      </c>
      <c r="D12" s="338"/>
      <c r="E12" s="327"/>
      <c r="F12" s="98">
        <v>9.09</v>
      </c>
      <c r="G12" s="334"/>
      <c r="H12" s="96"/>
    </row>
    <row r="13" spans="2:8" ht="35.4" customHeight="1">
      <c r="B13" s="325"/>
      <c r="C13" s="338" t="s">
        <v>195</v>
      </c>
      <c r="D13" s="338"/>
      <c r="E13" s="327"/>
      <c r="F13" s="98">
        <v>4.54</v>
      </c>
      <c r="G13" s="334"/>
      <c r="H13" s="96"/>
    </row>
    <row r="14" spans="2:8" ht="27" customHeight="1">
      <c r="B14" s="325"/>
      <c r="C14" s="308" t="s">
        <v>196</v>
      </c>
      <c r="D14" s="309"/>
      <c r="E14" s="335">
        <v>11571.08</v>
      </c>
      <c r="F14" s="98">
        <v>6.24</v>
      </c>
      <c r="G14" s="334">
        <v>13</v>
      </c>
      <c r="H14" s="96"/>
    </row>
    <row r="15" spans="2:8" ht="28.2" customHeight="1">
      <c r="B15" s="325"/>
      <c r="C15" s="308" t="s">
        <v>197</v>
      </c>
      <c r="D15" s="309"/>
      <c r="E15" s="335"/>
      <c r="F15" s="98">
        <v>3.12</v>
      </c>
      <c r="G15" s="334"/>
      <c r="H15" s="96"/>
    </row>
    <row r="16" spans="2:8" ht="31.95" customHeight="1">
      <c r="B16" s="325"/>
      <c r="C16" s="308" t="s">
        <v>198</v>
      </c>
      <c r="D16" s="309"/>
      <c r="E16" s="335"/>
      <c r="F16" s="98">
        <v>9.09</v>
      </c>
      <c r="G16" s="334"/>
      <c r="H16" s="96"/>
    </row>
    <row r="17" spans="2:8" ht="30" customHeight="1">
      <c r="B17" s="325"/>
      <c r="C17" s="308" t="s">
        <v>199</v>
      </c>
      <c r="D17" s="309"/>
      <c r="E17" s="335"/>
      <c r="F17" s="98">
        <v>4.54</v>
      </c>
      <c r="G17" s="334"/>
      <c r="H17" s="96"/>
    </row>
    <row r="18" spans="2:8" ht="31.2" customHeight="1">
      <c r="B18" s="325"/>
      <c r="C18" s="308" t="s">
        <v>200</v>
      </c>
      <c r="D18" s="309"/>
      <c r="E18" s="335"/>
      <c r="F18" s="98">
        <v>15.91</v>
      </c>
      <c r="G18" s="334"/>
      <c r="H18" s="96"/>
    </row>
    <row r="19" spans="2:8" ht="27" customHeight="1">
      <c r="B19" s="325"/>
      <c r="C19" s="308" t="s">
        <v>201</v>
      </c>
      <c r="D19" s="309"/>
      <c r="E19" s="335"/>
      <c r="F19" s="98">
        <v>7.95</v>
      </c>
      <c r="G19" s="334"/>
      <c r="H19" s="96"/>
    </row>
    <row r="20" spans="2:8" ht="28.2" customHeight="1">
      <c r="B20" s="325"/>
      <c r="C20" s="308" t="s">
        <v>202</v>
      </c>
      <c r="D20" s="309"/>
      <c r="E20" s="335">
        <v>6832.56</v>
      </c>
      <c r="F20" s="98">
        <v>6.24</v>
      </c>
      <c r="G20" s="334">
        <v>8</v>
      </c>
      <c r="H20" s="96"/>
    </row>
    <row r="21" spans="2:8" ht="28.95" customHeight="1">
      <c r="B21" s="325"/>
      <c r="C21" s="308" t="s">
        <v>203</v>
      </c>
      <c r="D21" s="309"/>
      <c r="E21" s="335"/>
      <c r="F21" s="98">
        <v>3.12</v>
      </c>
      <c r="G21" s="334"/>
      <c r="H21" s="96"/>
    </row>
    <row r="22" spans="2:8" ht="29.4" customHeight="1">
      <c r="B22" s="325"/>
      <c r="C22" s="308" t="s">
        <v>204</v>
      </c>
      <c r="D22" s="309"/>
      <c r="E22" s="335"/>
      <c r="F22" s="98">
        <v>9.09</v>
      </c>
      <c r="G22" s="334"/>
      <c r="H22" s="96"/>
    </row>
    <row r="23" spans="2:8" ht="30" customHeight="1">
      <c r="B23" s="325"/>
      <c r="C23" s="308" t="s">
        <v>205</v>
      </c>
      <c r="D23" s="309"/>
      <c r="E23" s="335"/>
      <c r="F23" s="98">
        <v>4.54</v>
      </c>
      <c r="G23" s="334"/>
      <c r="H23" s="96"/>
    </row>
    <row r="24" spans="2:8" ht="31.95" customHeight="1">
      <c r="B24" s="325"/>
      <c r="C24" s="308" t="s">
        <v>206</v>
      </c>
      <c r="D24" s="309"/>
      <c r="E24" s="335"/>
      <c r="F24" s="98">
        <v>9.09</v>
      </c>
      <c r="G24" s="334"/>
      <c r="H24" s="96"/>
    </row>
    <row r="25" spans="2:8" ht="40.200000000000003" customHeight="1">
      <c r="B25" s="325"/>
      <c r="C25" s="308" t="s">
        <v>207</v>
      </c>
      <c r="D25" s="309"/>
      <c r="E25" s="335"/>
      <c r="F25" s="98">
        <v>4.54</v>
      </c>
      <c r="G25" s="334"/>
      <c r="H25" s="96"/>
    </row>
    <row r="26" spans="2:8" ht="46.8" customHeight="1">
      <c r="B26" s="325"/>
      <c r="C26" s="308" t="s">
        <v>208</v>
      </c>
      <c r="D26" s="309"/>
      <c r="E26" s="336">
        <v>4255.25</v>
      </c>
      <c r="F26" s="98">
        <v>6.24</v>
      </c>
      <c r="G26" s="334">
        <v>17</v>
      </c>
      <c r="H26" s="96"/>
    </row>
    <row r="27" spans="2:8" ht="30" customHeight="1">
      <c r="B27" s="325"/>
      <c r="C27" s="308" t="s">
        <v>209</v>
      </c>
      <c r="D27" s="309"/>
      <c r="E27" s="336"/>
      <c r="F27" s="98">
        <v>3.12</v>
      </c>
      <c r="G27" s="334"/>
      <c r="H27" s="96"/>
    </row>
    <row r="28" spans="2:8" ht="28.2" customHeight="1">
      <c r="B28" s="325"/>
      <c r="C28" s="308" t="s">
        <v>287</v>
      </c>
      <c r="D28" s="309"/>
      <c r="E28" s="336"/>
      <c r="F28" s="98">
        <v>9.09</v>
      </c>
      <c r="G28" s="334"/>
      <c r="H28" s="96"/>
    </row>
    <row r="29" spans="2:8" ht="29.4" customHeight="1">
      <c r="B29" s="325"/>
      <c r="C29" s="308" t="s">
        <v>288</v>
      </c>
      <c r="D29" s="309"/>
      <c r="E29" s="336"/>
      <c r="F29" s="98">
        <v>4.54</v>
      </c>
      <c r="G29" s="334"/>
      <c r="H29" s="96"/>
    </row>
    <row r="30" spans="2:8" ht="29.4" customHeight="1">
      <c r="B30" s="325"/>
      <c r="C30" s="308" t="s">
        <v>289</v>
      </c>
      <c r="D30" s="309"/>
      <c r="E30" s="336"/>
      <c r="F30" s="98">
        <v>9.09</v>
      </c>
      <c r="G30" s="334"/>
      <c r="H30" s="96"/>
    </row>
    <row r="31" spans="2:8" ht="46.2" customHeight="1">
      <c r="B31" s="325"/>
      <c r="C31" s="308" t="s">
        <v>290</v>
      </c>
      <c r="D31" s="309"/>
      <c r="E31" s="336"/>
      <c r="F31" s="98">
        <v>4.54</v>
      </c>
      <c r="G31" s="334"/>
      <c r="H31" s="96"/>
    </row>
    <row r="32" spans="2:8" ht="49.8" customHeight="1">
      <c r="B32" s="325"/>
      <c r="C32" s="308" t="s">
        <v>210</v>
      </c>
      <c r="D32" s="309"/>
      <c r="E32" s="335">
        <v>3387.42</v>
      </c>
      <c r="F32" s="98">
        <v>6.24</v>
      </c>
      <c r="G32" s="334">
        <v>19</v>
      </c>
      <c r="H32" s="96"/>
    </row>
    <row r="33" spans="2:8" ht="30" customHeight="1">
      <c r="B33" s="325"/>
      <c r="C33" s="308" t="s">
        <v>211</v>
      </c>
      <c r="D33" s="309"/>
      <c r="E33" s="335"/>
      <c r="F33" s="98">
        <v>3.12</v>
      </c>
      <c r="G33" s="334"/>
      <c r="H33" s="96"/>
    </row>
    <row r="34" spans="2:8" ht="31.95" customHeight="1">
      <c r="B34" s="325"/>
      <c r="C34" s="308" t="s">
        <v>212</v>
      </c>
      <c r="D34" s="309"/>
      <c r="E34" s="335"/>
      <c r="F34" s="98">
        <v>9.09</v>
      </c>
      <c r="G34" s="334"/>
      <c r="H34" s="96"/>
    </row>
    <row r="35" spans="2:8" ht="28.95" customHeight="1">
      <c r="B35" s="325"/>
      <c r="C35" s="308" t="s">
        <v>213</v>
      </c>
      <c r="D35" s="309"/>
      <c r="E35" s="335"/>
      <c r="F35" s="98">
        <v>4.54</v>
      </c>
      <c r="G35" s="334"/>
      <c r="H35" s="96"/>
    </row>
    <row r="36" spans="2:8" ht="30" customHeight="1">
      <c r="B36" s="325"/>
      <c r="C36" s="308" t="s">
        <v>214</v>
      </c>
      <c r="D36" s="309"/>
      <c r="E36" s="335"/>
      <c r="F36" s="98">
        <v>9.09</v>
      </c>
      <c r="G36" s="334"/>
      <c r="H36" s="96"/>
    </row>
    <row r="37" spans="2:8" ht="30" customHeight="1">
      <c r="B37" s="325"/>
      <c r="C37" s="308" t="s">
        <v>215</v>
      </c>
      <c r="D37" s="309"/>
      <c r="E37" s="335"/>
      <c r="F37" s="98">
        <v>4.54</v>
      </c>
      <c r="G37" s="334"/>
      <c r="H37" s="96"/>
    </row>
    <row r="38" spans="2:8" ht="29.4" customHeight="1">
      <c r="B38" s="325"/>
      <c r="C38" s="308" t="s">
        <v>216</v>
      </c>
      <c r="D38" s="309"/>
      <c r="E38" s="336">
        <v>6632.95</v>
      </c>
      <c r="F38" s="98">
        <v>6.24</v>
      </c>
      <c r="G38" s="337">
        <v>7</v>
      </c>
      <c r="H38" s="96"/>
    </row>
    <row r="39" spans="2:8" ht="29.4" customHeight="1">
      <c r="B39" s="325"/>
      <c r="C39" s="308" t="s">
        <v>217</v>
      </c>
      <c r="D39" s="309"/>
      <c r="E39" s="336"/>
      <c r="F39" s="98">
        <v>3.12</v>
      </c>
      <c r="G39" s="337"/>
      <c r="H39" s="96"/>
    </row>
    <row r="40" spans="2:8" ht="30" customHeight="1">
      <c r="B40" s="325"/>
      <c r="C40" s="308" t="s">
        <v>291</v>
      </c>
      <c r="D40" s="309"/>
      <c r="E40" s="336"/>
      <c r="F40" s="98">
        <v>15.91</v>
      </c>
      <c r="G40" s="337"/>
      <c r="H40" s="96"/>
    </row>
    <row r="41" spans="2:8" ht="28.95" customHeight="1">
      <c r="B41" s="325"/>
      <c r="C41" s="308" t="s">
        <v>292</v>
      </c>
      <c r="D41" s="309"/>
      <c r="E41" s="336"/>
      <c r="F41" s="98">
        <v>7.95</v>
      </c>
      <c r="G41" s="337"/>
      <c r="H41" s="96"/>
    </row>
    <row r="42" spans="2:8" ht="28.95" customHeight="1">
      <c r="B42" s="325"/>
      <c r="C42" s="308" t="s">
        <v>218</v>
      </c>
      <c r="D42" s="309"/>
      <c r="E42" s="335">
        <v>2394.9</v>
      </c>
      <c r="F42" s="98">
        <v>6.24</v>
      </c>
      <c r="G42" s="334">
        <v>8</v>
      </c>
      <c r="H42" s="96"/>
    </row>
    <row r="43" spans="2:8" ht="29.4" customHeight="1">
      <c r="B43" s="325"/>
      <c r="C43" s="308" t="s">
        <v>219</v>
      </c>
      <c r="D43" s="309"/>
      <c r="E43" s="335"/>
      <c r="F43" s="98">
        <v>3.12</v>
      </c>
      <c r="G43" s="334"/>
      <c r="H43" s="96"/>
    </row>
    <row r="44" spans="2:8" ht="32.4" customHeight="1">
      <c r="B44" s="325"/>
      <c r="C44" s="308" t="s">
        <v>220</v>
      </c>
      <c r="D44" s="309"/>
      <c r="E44" s="335"/>
      <c r="F44" s="98">
        <v>15.91</v>
      </c>
      <c r="G44" s="334"/>
      <c r="H44" s="96"/>
    </row>
    <row r="45" spans="2:8" ht="28.95" customHeight="1">
      <c r="B45" s="325"/>
      <c r="C45" s="308" t="s">
        <v>221</v>
      </c>
      <c r="D45" s="309"/>
      <c r="E45" s="335"/>
      <c r="F45" s="98">
        <v>7.95</v>
      </c>
      <c r="G45" s="334"/>
      <c r="H45" s="96"/>
    </row>
    <row r="46" spans="2:8" ht="31.95" customHeight="1">
      <c r="B46" s="325"/>
      <c r="C46" s="308" t="s">
        <v>293</v>
      </c>
      <c r="D46" s="309"/>
      <c r="E46" s="327">
        <v>3243.49</v>
      </c>
      <c r="F46" s="98">
        <v>6.24</v>
      </c>
      <c r="G46" s="334">
        <v>5</v>
      </c>
      <c r="H46" s="96"/>
    </row>
    <row r="47" spans="2:8" ht="30" customHeight="1">
      <c r="B47" s="325"/>
      <c r="C47" s="308" t="s">
        <v>294</v>
      </c>
      <c r="D47" s="309"/>
      <c r="E47" s="327"/>
      <c r="F47" s="98">
        <v>3.12</v>
      </c>
      <c r="G47" s="334"/>
      <c r="H47" s="96"/>
    </row>
    <row r="48" spans="2:8" ht="28.95" customHeight="1">
      <c r="B48" s="325"/>
      <c r="C48" s="308" t="s">
        <v>295</v>
      </c>
      <c r="D48" s="309"/>
      <c r="E48" s="327"/>
      <c r="F48" s="98">
        <v>15.91</v>
      </c>
      <c r="G48" s="334"/>
      <c r="H48" s="96"/>
    </row>
    <row r="49" spans="2:8" ht="28.2" customHeight="1">
      <c r="B49" s="325"/>
      <c r="C49" s="308" t="s">
        <v>296</v>
      </c>
      <c r="D49" s="309"/>
      <c r="E49" s="327"/>
      <c r="F49" s="98">
        <v>7.95</v>
      </c>
      <c r="G49" s="334"/>
      <c r="H49" s="96"/>
    </row>
    <row r="50" spans="2:8" ht="28.2" customHeight="1">
      <c r="B50" s="325"/>
      <c r="C50" s="308" t="s">
        <v>222</v>
      </c>
      <c r="D50" s="309"/>
      <c r="E50" s="335">
        <v>500.47</v>
      </c>
      <c r="F50" s="98">
        <v>6.24</v>
      </c>
      <c r="G50" s="334">
        <v>4</v>
      </c>
      <c r="H50" s="96"/>
    </row>
    <row r="51" spans="2:8" ht="28.2" customHeight="1">
      <c r="B51" s="325"/>
      <c r="C51" s="308" t="s">
        <v>223</v>
      </c>
      <c r="D51" s="309"/>
      <c r="E51" s="335"/>
      <c r="F51" s="98">
        <v>3.12</v>
      </c>
      <c r="G51" s="334"/>
      <c r="H51" s="96"/>
    </row>
    <row r="52" spans="2:8" ht="28.95" customHeight="1">
      <c r="B52" s="325"/>
      <c r="C52" s="308" t="s">
        <v>224</v>
      </c>
      <c r="D52" s="309"/>
      <c r="E52" s="335"/>
      <c r="F52" s="98">
        <v>9.09</v>
      </c>
      <c r="G52" s="334"/>
      <c r="H52" s="96"/>
    </row>
    <row r="53" spans="2:8" ht="29.4" customHeight="1">
      <c r="B53" s="325"/>
      <c r="C53" s="308" t="s">
        <v>225</v>
      </c>
      <c r="D53" s="309"/>
      <c r="E53" s="335"/>
      <c r="F53" s="98">
        <v>4.54</v>
      </c>
      <c r="G53" s="334"/>
      <c r="H53" s="96"/>
    </row>
    <row r="54" spans="2:8" ht="30" customHeight="1">
      <c r="B54" s="325"/>
      <c r="C54" s="308" t="s">
        <v>226</v>
      </c>
      <c r="D54" s="309"/>
      <c r="E54" s="335">
        <v>3310.06</v>
      </c>
      <c r="F54" s="98">
        <v>6.24</v>
      </c>
      <c r="G54" s="334">
        <v>4</v>
      </c>
      <c r="H54" s="96"/>
    </row>
    <row r="55" spans="2:8" ht="31.95" customHeight="1">
      <c r="B55" s="325"/>
      <c r="C55" s="308" t="s">
        <v>227</v>
      </c>
      <c r="D55" s="309"/>
      <c r="E55" s="335"/>
      <c r="F55" s="98">
        <v>3.12</v>
      </c>
      <c r="G55" s="334"/>
      <c r="H55" s="96"/>
    </row>
    <row r="56" spans="2:8" ht="31.2" customHeight="1">
      <c r="B56" s="325"/>
      <c r="C56" s="308" t="s">
        <v>228</v>
      </c>
      <c r="D56" s="309"/>
      <c r="E56" s="335"/>
      <c r="F56" s="98">
        <v>9.09</v>
      </c>
      <c r="G56" s="334"/>
      <c r="H56" s="96"/>
    </row>
    <row r="57" spans="2:8" ht="33" customHeight="1">
      <c r="B57" s="325"/>
      <c r="C57" s="308" t="s">
        <v>229</v>
      </c>
      <c r="D57" s="309"/>
      <c r="E57" s="335"/>
      <c r="F57" s="98">
        <v>4.54</v>
      </c>
      <c r="G57" s="334"/>
      <c r="H57" s="96"/>
    </row>
    <row r="58" spans="2:8" ht="32.4" customHeight="1">
      <c r="B58" s="325"/>
      <c r="C58" s="308" t="s">
        <v>230</v>
      </c>
      <c r="D58" s="309"/>
      <c r="E58" s="335">
        <v>3156.9</v>
      </c>
      <c r="F58" s="98">
        <v>6.24</v>
      </c>
      <c r="G58" s="334">
        <v>10</v>
      </c>
      <c r="H58" s="96"/>
    </row>
    <row r="59" spans="2:8" ht="31.95" customHeight="1">
      <c r="B59" s="325"/>
      <c r="C59" s="308" t="s">
        <v>231</v>
      </c>
      <c r="D59" s="309"/>
      <c r="E59" s="335"/>
      <c r="F59" s="98">
        <v>3.12</v>
      </c>
      <c r="G59" s="334"/>
      <c r="H59" s="96"/>
    </row>
    <row r="60" spans="2:8" ht="33" customHeight="1">
      <c r="B60" s="325"/>
      <c r="C60" s="308" t="s">
        <v>232</v>
      </c>
      <c r="D60" s="309"/>
      <c r="E60" s="335"/>
      <c r="F60" s="98">
        <v>15.91</v>
      </c>
      <c r="G60" s="334"/>
      <c r="H60" s="96"/>
    </row>
    <row r="61" spans="2:8" ht="36" customHeight="1">
      <c r="B61" s="325"/>
      <c r="C61" s="308" t="s">
        <v>233</v>
      </c>
      <c r="D61" s="309"/>
      <c r="E61" s="335"/>
      <c r="F61" s="98">
        <v>7.95</v>
      </c>
      <c r="G61" s="334"/>
      <c r="H61" s="96"/>
    </row>
    <row r="62" spans="2:8" ht="43.8" customHeight="1">
      <c r="B62" s="325"/>
      <c r="C62" s="308" t="s">
        <v>234</v>
      </c>
      <c r="D62" s="309"/>
      <c r="E62" s="327">
        <v>3002.21</v>
      </c>
      <c r="F62" s="98">
        <v>6.24</v>
      </c>
      <c r="G62" s="334">
        <v>14</v>
      </c>
      <c r="H62" s="96"/>
    </row>
    <row r="63" spans="2:8" ht="30" customHeight="1">
      <c r="B63" s="325"/>
      <c r="C63" s="308" t="s">
        <v>235</v>
      </c>
      <c r="D63" s="309"/>
      <c r="E63" s="327"/>
      <c r="F63" s="98">
        <v>3.12</v>
      </c>
      <c r="G63" s="334"/>
      <c r="H63" s="96"/>
    </row>
    <row r="64" spans="2:8" ht="29.4" customHeight="1">
      <c r="B64" s="325"/>
      <c r="C64" s="308" t="s">
        <v>236</v>
      </c>
      <c r="D64" s="309"/>
      <c r="E64" s="327"/>
      <c r="F64" s="98">
        <v>9.09</v>
      </c>
      <c r="G64" s="334"/>
      <c r="H64" s="96"/>
    </row>
    <row r="65" spans="2:8" ht="31.2" customHeight="1">
      <c r="B65" s="325"/>
      <c r="C65" s="308" t="s">
        <v>237</v>
      </c>
      <c r="D65" s="309"/>
      <c r="E65" s="327"/>
      <c r="F65" s="98">
        <v>4.54</v>
      </c>
      <c r="G65" s="334"/>
      <c r="H65" s="96"/>
    </row>
    <row r="66" spans="2:8" ht="28.95" customHeight="1">
      <c r="B66" s="325"/>
      <c r="C66" s="308" t="s">
        <v>238</v>
      </c>
      <c r="D66" s="309"/>
      <c r="E66" s="310">
        <v>0</v>
      </c>
      <c r="F66" s="98">
        <v>6.24</v>
      </c>
      <c r="G66" s="331">
        <v>0</v>
      </c>
      <c r="H66" s="321" t="s">
        <v>567</v>
      </c>
    </row>
    <row r="67" spans="2:8" ht="31.95" customHeight="1">
      <c r="B67" s="325"/>
      <c r="C67" s="308" t="s">
        <v>239</v>
      </c>
      <c r="D67" s="309"/>
      <c r="E67" s="330"/>
      <c r="F67" s="98">
        <v>3.12</v>
      </c>
      <c r="G67" s="332"/>
      <c r="H67" s="322"/>
    </row>
    <row r="68" spans="2:8" ht="29.4" customHeight="1">
      <c r="B68" s="325"/>
      <c r="C68" s="308" t="s">
        <v>240</v>
      </c>
      <c r="D68" s="309"/>
      <c r="E68" s="330"/>
      <c r="F68" s="98">
        <v>15.91</v>
      </c>
      <c r="G68" s="332"/>
      <c r="H68" s="322"/>
    </row>
    <row r="69" spans="2:8" ht="29.4" customHeight="1">
      <c r="B69" s="325"/>
      <c r="C69" s="308" t="s">
        <v>241</v>
      </c>
      <c r="D69" s="309"/>
      <c r="E69" s="311"/>
      <c r="F69" s="98">
        <v>7.95</v>
      </c>
      <c r="G69" s="333"/>
      <c r="H69" s="323"/>
    </row>
    <row r="70" spans="2:8" ht="30" customHeight="1">
      <c r="B70" s="325"/>
      <c r="C70" s="308" t="s">
        <v>242</v>
      </c>
      <c r="D70" s="309"/>
      <c r="E70" s="335">
        <v>2719.08</v>
      </c>
      <c r="F70" s="98">
        <v>6.24</v>
      </c>
      <c r="G70" s="334">
        <v>5</v>
      </c>
      <c r="H70" s="96"/>
    </row>
    <row r="71" spans="2:8" ht="28.95" customHeight="1">
      <c r="B71" s="325"/>
      <c r="C71" s="308" t="s">
        <v>243</v>
      </c>
      <c r="D71" s="309"/>
      <c r="E71" s="335"/>
      <c r="F71" s="98">
        <v>3.12</v>
      </c>
      <c r="G71" s="334"/>
      <c r="H71" s="96"/>
    </row>
    <row r="72" spans="2:8" ht="31.2" customHeight="1">
      <c r="B72" s="325"/>
      <c r="C72" s="308" t="s">
        <v>244</v>
      </c>
      <c r="D72" s="309"/>
      <c r="E72" s="335"/>
      <c r="F72" s="98">
        <v>15.91</v>
      </c>
      <c r="G72" s="334"/>
      <c r="H72" s="96"/>
    </row>
    <row r="73" spans="2:8" ht="32.4" customHeight="1">
      <c r="B73" s="325"/>
      <c r="C73" s="308" t="s">
        <v>245</v>
      </c>
      <c r="D73" s="309"/>
      <c r="E73" s="335"/>
      <c r="F73" s="98">
        <v>7.95</v>
      </c>
      <c r="G73" s="334"/>
      <c r="H73" s="96"/>
    </row>
    <row r="74" spans="2:8" ht="31.95" customHeight="1">
      <c r="B74" s="325"/>
      <c r="C74" s="308" t="s">
        <v>246</v>
      </c>
      <c r="D74" s="309"/>
      <c r="E74" s="310">
        <v>0</v>
      </c>
      <c r="F74" s="98">
        <v>6.24</v>
      </c>
      <c r="G74" s="331">
        <v>0</v>
      </c>
      <c r="H74" s="321" t="s">
        <v>567</v>
      </c>
    </row>
    <row r="75" spans="2:8" ht="31.95" customHeight="1">
      <c r="B75" s="325"/>
      <c r="C75" s="308" t="s">
        <v>247</v>
      </c>
      <c r="D75" s="309"/>
      <c r="E75" s="330"/>
      <c r="F75" s="98">
        <v>3.12</v>
      </c>
      <c r="G75" s="332"/>
      <c r="H75" s="322"/>
    </row>
    <row r="76" spans="2:8" ht="31.2" customHeight="1">
      <c r="B76" s="325"/>
      <c r="C76" s="308" t="s">
        <v>248</v>
      </c>
      <c r="D76" s="309"/>
      <c r="E76" s="330"/>
      <c r="F76" s="98">
        <v>9.09</v>
      </c>
      <c r="G76" s="332"/>
      <c r="H76" s="322"/>
    </row>
    <row r="77" spans="2:8" ht="30" customHeight="1">
      <c r="B77" s="325"/>
      <c r="C77" s="308" t="s">
        <v>249</v>
      </c>
      <c r="D77" s="309"/>
      <c r="E77" s="311"/>
      <c r="F77" s="98">
        <v>4.54</v>
      </c>
      <c r="G77" s="333"/>
      <c r="H77" s="323"/>
    </row>
    <row r="78" spans="2:8" ht="31.2" customHeight="1">
      <c r="B78" s="325"/>
      <c r="C78" s="308" t="s">
        <v>250</v>
      </c>
      <c r="D78" s="309"/>
      <c r="E78" s="310">
        <v>0</v>
      </c>
      <c r="F78" s="98">
        <v>6.24</v>
      </c>
      <c r="G78" s="331">
        <v>0</v>
      </c>
      <c r="H78" s="321" t="s">
        <v>567</v>
      </c>
    </row>
    <row r="79" spans="2:8" ht="31.95" customHeight="1">
      <c r="B79" s="325"/>
      <c r="C79" s="308" t="s">
        <v>251</v>
      </c>
      <c r="D79" s="309"/>
      <c r="E79" s="330"/>
      <c r="F79" s="98">
        <v>3.12</v>
      </c>
      <c r="G79" s="332"/>
      <c r="H79" s="322"/>
    </row>
    <row r="80" spans="2:8" ht="32.4" customHeight="1">
      <c r="B80" s="325"/>
      <c r="C80" s="308" t="s">
        <v>252</v>
      </c>
      <c r="D80" s="309"/>
      <c r="E80" s="330"/>
      <c r="F80" s="98">
        <v>9.09</v>
      </c>
      <c r="G80" s="332"/>
      <c r="H80" s="322"/>
    </row>
    <row r="81" spans="2:8" ht="34.200000000000003" customHeight="1">
      <c r="B81" s="325"/>
      <c r="C81" s="308" t="s">
        <v>253</v>
      </c>
      <c r="D81" s="309"/>
      <c r="E81" s="311"/>
      <c r="F81" s="98">
        <v>4.54</v>
      </c>
      <c r="G81" s="333"/>
      <c r="H81" s="323"/>
    </row>
    <row r="82" spans="2:8" ht="32.4" customHeight="1">
      <c r="B82" s="325"/>
      <c r="C82" s="308" t="s">
        <v>254</v>
      </c>
      <c r="D82" s="309"/>
      <c r="E82" s="310">
        <v>0</v>
      </c>
      <c r="F82" s="98">
        <v>6.24</v>
      </c>
      <c r="G82" s="331">
        <v>0</v>
      </c>
      <c r="H82" s="321" t="s">
        <v>567</v>
      </c>
    </row>
    <row r="83" spans="2:8" ht="34.200000000000003" customHeight="1">
      <c r="B83" s="325"/>
      <c r="C83" s="308" t="s">
        <v>255</v>
      </c>
      <c r="D83" s="309"/>
      <c r="E83" s="330"/>
      <c r="F83" s="98">
        <v>3.12</v>
      </c>
      <c r="G83" s="332"/>
      <c r="H83" s="322"/>
    </row>
    <row r="84" spans="2:8" ht="31.95" customHeight="1">
      <c r="B84" s="325"/>
      <c r="C84" s="308" t="s">
        <v>256</v>
      </c>
      <c r="D84" s="309"/>
      <c r="E84" s="330"/>
      <c r="F84" s="98">
        <v>9.09</v>
      </c>
      <c r="G84" s="332"/>
      <c r="H84" s="322"/>
    </row>
    <row r="85" spans="2:8" ht="29.4" customHeight="1">
      <c r="B85" s="326"/>
      <c r="C85" s="308" t="s">
        <v>257</v>
      </c>
      <c r="D85" s="309"/>
      <c r="E85" s="311"/>
      <c r="F85" s="98">
        <v>4.54</v>
      </c>
      <c r="G85" s="333"/>
      <c r="H85" s="323"/>
    </row>
    <row r="86" spans="2:8" ht="41.4" customHeight="1">
      <c r="B86" s="99" t="s">
        <v>52</v>
      </c>
      <c r="C86" s="302"/>
      <c r="D86" s="303"/>
      <c r="E86" s="100">
        <f>SUM(E8:E85)</f>
        <v>52087.5</v>
      </c>
      <c r="F86" s="100">
        <f>SUM(F8:F85)</f>
        <v>530.59000000000015</v>
      </c>
      <c r="G86" s="101">
        <f>SUM(G8:G85)</f>
        <v>118</v>
      </c>
      <c r="H86" s="102"/>
    </row>
    <row r="87" spans="2:8" ht="34.950000000000003" customHeight="1">
      <c r="B87" s="324" t="s">
        <v>53</v>
      </c>
      <c r="C87" s="321" t="s">
        <v>258</v>
      </c>
      <c r="D87" s="321" t="s">
        <v>259</v>
      </c>
      <c r="E87" s="327">
        <v>412.48</v>
      </c>
      <c r="F87" s="97">
        <v>5</v>
      </c>
      <c r="G87" s="328">
        <v>10</v>
      </c>
      <c r="H87" s="103" t="s">
        <v>260</v>
      </c>
    </row>
    <row r="88" spans="2:8" ht="36" customHeight="1">
      <c r="B88" s="325"/>
      <c r="C88" s="322"/>
      <c r="D88" s="323"/>
      <c r="E88" s="327"/>
      <c r="F88" s="97">
        <v>25</v>
      </c>
      <c r="G88" s="328"/>
      <c r="H88" s="103" t="s">
        <v>261</v>
      </c>
    </row>
    <row r="89" spans="2:8" ht="44.4" customHeight="1">
      <c r="B89" s="325"/>
      <c r="C89" s="322"/>
      <c r="D89" s="321" t="s">
        <v>262</v>
      </c>
      <c r="E89" s="327">
        <v>95.78</v>
      </c>
      <c r="F89" s="97">
        <v>3.7</v>
      </c>
      <c r="G89" s="328">
        <v>4</v>
      </c>
      <c r="H89" s="103" t="s">
        <v>263</v>
      </c>
    </row>
    <row r="90" spans="2:8" ht="41.4" customHeight="1">
      <c r="B90" s="325"/>
      <c r="C90" s="322"/>
      <c r="D90" s="323"/>
      <c r="E90" s="327"/>
      <c r="F90" s="97">
        <v>18.5</v>
      </c>
      <c r="G90" s="328"/>
      <c r="H90" s="103" t="s">
        <v>264</v>
      </c>
    </row>
    <row r="91" spans="2:8" ht="39.6" customHeight="1">
      <c r="B91" s="325"/>
      <c r="C91" s="322"/>
      <c r="D91" s="321" t="s">
        <v>265</v>
      </c>
      <c r="E91" s="327">
        <v>102.74</v>
      </c>
      <c r="F91" s="97">
        <v>3.7</v>
      </c>
      <c r="G91" s="312">
        <v>1</v>
      </c>
      <c r="H91" s="103" t="s">
        <v>263</v>
      </c>
    </row>
    <row r="92" spans="2:8" ht="41.4" customHeight="1">
      <c r="B92" s="325"/>
      <c r="C92" s="322"/>
      <c r="D92" s="323"/>
      <c r="E92" s="327"/>
      <c r="F92" s="97">
        <v>18.5</v>
      </c>
      <c r="G92" s="313"/>
      <c r="H92" s="103" t="s">
        <v>264</v>
      </c>
    </row>
    <row r="93" spans="2:8" ht="41.4" customHeight="1">
      <c r="B93" s="325"/>
      <c r="C93" s="322"/>
      <c r="D93" s="321" t="s">
        <v>266</v>
      </c>
      <c r="E93" s="327">
        <v>46.8</v>
      </c>
      <c r="F93" s="97">
        <v>5</v>
      </c>
      <c r="G93" s="312">
        <v>1</v>
      </c>
      <c r="H93" s="103" t="s">
        <v>260</v>
      </c>
    </row>
    <row r="94" spans="2:8" ht="47.4" customHeight="1">
      <c r="B94" s="325"/>
      <c r="C94" s="323"/>
      <c r="D94" s="323"/>
      <c r="E94" s="327"/>
      <c r="F94" s="97">
        <v>25</v>
      </c>
      <c r="G94" s="313"/>
      <c r="H94" s="103" t="s">
        <v>261</v>
      </c>
    </row>
    <row r="95" spans="2:8" ht="44.4" customHeight="1">
      <c r="B95" s="325"/>
      <c r="C95" s="321" t="s">
        <v>267</v>
      </c>
      <c r="D95" s="321" t="s">
        <v>268</v>
      </c>
      <c r="E95" s="329">
        <v>216.63</v>
      </c>
      <c r="F95" s="97">
        <v>5</v>
      </c>
      <c r="G95" s="328">
        <v>8</v>
      </c>
      <c r="H95" s="103" t="s">
        <v>260</v>
      </c>
    </row>
    <row r="96" spans="2:8" ht="42.6" customHeight="1">
      <c r="B96" s="325"/>
      <c r="C96" s="322"/>
      <c r="D96" s="323"/>
      <c r="E96" s="329"/>
      <c r="F96" s="97">
        <v>25</v>
      </c>
      <c r="G96" s="328"/>
      <c r="H96" s="103" t="s">
        <v>261</v>
      </c>
    </row>
    <row r="97" spans="2:8" ht="40.950000000000003" customHeight="1">
      <c r="B97" s="325"/>
      <c r="C97" s="322"/>
      <c r="D97" s="321" t="s">
        <v>269</v>
      </c>
      <c r="E97" s="319">
        <v>21.19</v>
      </c>
      <c r="F97" s="97">
        <v>3.7</v>
      </c>
      <c r="G97" s="312">
        <v>1</v>
      </c>
      <c r="H97" s="103" t="s">
        <v>263</v>
      </c>
    </row>
    <row r="98" spans="2:8" ht="48" customHeight="1">
      <c r="B98" s="325"/>
      <c r="C98" s="323"/>
      <c r="D98" s="323"/>
      <c r="E98" s="320"/>
      <c r="F98" s="97">
        <v>18.5</v>
      </c>
      <c r="G98" s="313"/>
      <c r="H98" s="103" t="s">
        <v>264</v>
      </c>
    </row>
    <row r="99" spans="2:8" ht="48.6" customHeight="1">
      <c r="B99" s="325"/>
      <c r="C99" s="321" t="s">
        <v>270</v>
      </c>
      <c r="D99" s="321" t="s">
        <v>271</v>
      </c>
      <c r="E99" s="319">
        <v>0</v>
      </c>
      <c r="F99" s="97">
        <v>3.7</v>
      </c>
      <c r="G99" s="312">
        <v>0</v>
      </c>
      <c r="H99" s="103" t="s">
        <v>263</v>
      </c>
    </row>
    <row r="100" spans="2:8" ht="50.4" customHeight="1">
      <c r="B100" s="325"/>
      <c r="C100" s="322"/>
      <c r="D100" s="323"/>
      <c r="E100" s="320"/>
      <c r="F100" s="97">
        <v>18.5</v>
      </c>
      <c r="G100" s="313"/>
      <c r="H100" s="103" t="s">
        <v>264</v>
      </c>
    </row>
    <row r="101" spans="2:8" ht="43.95" customHeight="1">
      <c r="B101" s="325"/>
      <c r="C101" s="322"/>
      <c r="D101" s="321" t="s">
        <v>272</v>
      </c>
      <c r="E101" s="319">
        <v>0</v>
      </c>
      <c r="F101" s="97">
        <v>3.7</v>
      </c>
      <c r="G101" s="312">
        <v>0</v>
      </c>
      <c r="H101" s="103" t="s">
        <v>263</v>
      </c>
    </row>
    <row r="102" spans="2:8" ht="47.4" customHeight="1">
      <c r="B102" s="325"/>
      <c r="C102" s="322"/>
      <c r="D102" s="323"/>
      <c r="E102" s="320"/>
      <c r="F102" s="97">
        <v>18.5</v>
      </c>
      <c r="G102" s="313"/>
      <c r="H102" s="103" t="s">
        <v>264</v>
      </c>
    </row>
    <row r="103" spans="2:8" ht="45" customHeight="1">
      <c r="B103" s="325"/>
      <c r="C103" s="322"/>
      <c r="D103" s="321" t="s">
        <v>268</v>
      </c>
      <c r="E103" s="319">
        <v>64.8</v>
      </c>
      <c r="F103" s="97">
        <v>6.2</v>
      </c>
      <c r="G103" s="312">
        <v>2</v>
      </c>
      <c r="H103" s="103" t="s">
        <v>273</v>
      </c>
    </row>
    <row r="104" spans="2:8" ht="48" customHeight="1">
      <c r="B104" s="325"/>
      <c r="C104" s="323"/>
      <c r="D104" s="323"/>
      <c r="E104" s="320"/>
      <c r="F104" s="97">
        <v>37</v>
      </c>
      <c r="G104" s="313"/>
      <c r="H104" s="103" t="s">
        <v>274</v>
      </c>
    </row>
    <row r="105" spans="2:8" ht="44.4" customHeight="1">
      <c r="B105" s="325"/>
      <c r="C105" s="321" t="s">
        <v>275</v>
      </c>
      <c r="D105" s="321" t="s">
        <v>276</v>
      </c>
      <c r="E105" s="329">
        <v>384.49</v>
      </c>
      <c r="F105" s="97">
        <v>3.7</v>
      </c>
      <c r="G105" s="328">
        <v>11</v>
      </c>
      <c r="H105" s="103" t="s">
        <v>263</v>
      </c>
    </row>
    <row r="106" spans="2:8" ht="45" customHeight="1">
      <c r="B106" s="325"/>
      <c r="C106" s="322"/>
      <c r="D106" s="323"/>
      <c r="E106" s="329"/>
      <c r="F106" s="97">
        <v>18.5</v>
      </c>
      <c r="G106" s="328"/>
      <c r="H106" s="103" t="s">
        <v>264</v>
      </c>
    </row>
    <row r="107" spans="2:8" ht="41.4" customHeight="1">
      <c r="B107" s="325"/>
      <c r="C107" s="322"/>
      <c r="D107" s="321" t="s">
        <v>277</v>
      </c>
      <c r="E107" s="329">
        <v>2645.46</v>
      </c>
      <c r="F107" s="97">
        <v>6.2</v>
      </c>
      <c r="G107" s="328">
        <v>50</v>
      </c>
      <c r="H107" s="103" t="s">
        <v>273</v>
      </c>
    </row>
    <row r="108" spans="2:8" ht="47.4" customHeight="1">
      <c r="B108" s="325"/>
      <c r="C108" s="322"/>
      <c r="D108" s="323"/>
      <c r="E108" s="329"/>
      <c r="F108" s="97">
        <v>37</v>
      </c>
      <c r="G108" s="328"/>
      <c r="H108" s="103" t="s">
        <v>274</v>
      </c>
    </row>
    <row r="109" spans="2:8" ht="39.6" customHeight="1">
      <c r="B109" s="325"/>
      <c r="C109" s="322"/>
      <c r="D109" s="321" t="s">
        <v>278</v>
      </c>
      <c r="E109" s="310">
        <v>111.22</v>
      </c>
      <c r="F109" s="97">
        <v>3.7</v>
      </c>
      <c r="G109" s="312">
        <v>3</v>
      </c>
      <c r="H109" s="103" t="s">
        <v>263</v>
      </c>
    </row>
    <row r="110" spans="2:8" ht="40.950000000000003" customHeight="1">
      <c r="B110" s="326"/>
      <c r="C110" s="323"/>
      <c r="D110" s="323"/>
      <c r="E110" s="311"/>
      <c r="F110" s="97">
        <v>18.5</v>
      </c>
      <c r="G110" s="313"/>
      <c r="H110" s="103" t="s">
        <v>264</v>
      </c>
    </row>
    <row r="111" spans="2:8" ht="46.95" customHeight="1">
      <c r="B111" s="104" t="s">
        <v>52</v>
      </c>
      <c r="C111" s="104"/>
      <c r="D111" s="104"/>
      <c r="E111" s="100">
        <f>SUM(E87:E110)</f>
        <v>4101.59</v>
      </c>
      <c r="F111" s="100">
        <f>SUM(F87:F110)</f>
        <v>331.79999999999995</v>
      </c>
      <c r="G111" s="101">
        <f>SUM(G87:G110)</f>
        <v>91</v>
      </c>
      <c r="H111" s="102"/>
    </row>
    <row r="112" spans="2:8" ht="23.4" customHeight="1">
      <c r="B112" s="304" t="s">
        <v>56</v>
      </c>
      <c r="C112" s="305"/>
      <c r="D112" s="305"/>
      <c r="E112" s="305"/>
      <c r="F112" s="305"/>
      <c r="G112" s="305"/>
      <c r="H112" s="306"/>
    </row>
    <row r="113" spans="2:8" ht="57.6">
      <c r="B113" s="94" t="s">
        <v>5</v>
      </c>
      <c r="C113" s="314" t="s">
        <v>6</v>
      </c>
      <c r="D113" s="315"/>
      <c r="E113" s="95" t="s">
        <v>7</v>
      </c>
      <c r="F113" s="95" t="s">
        <v>58</v>
      </c>
      <c r="G113" s="95" t="s">
        <v>9</v>
      </c>
      <c r="H113" s="95" t="s">
        <v>10</v>
      </c>
    </row>
    <row r="114" spans="2:8" ht="28.8">
      <c r="B114" s="316" t="s">
        <v>60</v>
      </c>
      <c r="C114" s="308" t="s">
        <v>279</v>
      </c>
      <c r="D114" s="309"/>
      <c r="E114" s="97">
        <v>73862.42</v>
      </c>
      <c r="F114" s="97">
        <v>59725.3</v>
      </c>
      <c r="G114" s="112">
        <v>1</v>
      </c>
      <c r="H114" s="105" t="s">
        <v>281</v>
      </c>
    </row>
    <row r="115" spans="2:8" ht="28.8">
      <c r="B115" s="317"/>
      <c r="C115" s="308" t="s">
        <v>280</v>
      </c>
      <c r="D115" s="309"/>
      <c r="E115" s="97">
        <v>5722.51</v>
      </c>
      <c r="F115" s="97">
        <v>5443.9</v>
      </c>
      <c r="G115" s="112">
        <v>1</v>
      </c>
      <c r="H115" s="105" t="s">
        <v>281</v>
      </c>
    </row>
    <row r="116" spans="2:8" ht="28.8">
      <c r="B116" s="318"/>
      <c r="C116" s="308" t="s">
        <v>282</v>
      </c>
      <c r="D116" s="309"/>
      <c r="E116" s="97">
        <v>14799.2</v>
      </c>
      <c r="F116" s="97">
        <v>15534.9</v>
      </c>
      <c r="G116" s="112">
        <v>1</v>
      </c>
      <c r="H116" s="105" t="s">
        <v>281</v>
      </c>
    </row>
    <row r="117" spans="2:8" ht="15.6">
      <c r="B117" s="106" t="s">
        <v>52</v>
      </c>
      <c r="C117" s="300"/>
      <c r="D117" s="301"/>
      <c r="E117" s="100">
        <f>SUM(E114:E116)</f>
        <v>94384.12999999999</v>
      </c>
      <c r="F117" s="100">
        <f>SUM(F114:F116)</f>
        <v>80704.100000000006</v>
      </c>
      <c r="G117" s="113">
        <f>SUM(G114:G116)</f>
        <v>3</v>
      </c>
      <c r="H117" s="107"/>
    </row>
    <row r="118" spans="2:8">
      <c r="B118" s="108" t="s">
        <v>61</v>
      </c>
      <c r="C118" s="302"/>
      <c r="D118" s="303"/>
      <c r="E118" s="97">
        <v>0</v>
      </c>
      <c r="F118" s="97">
        <v>0</v>
      </c>
      <c r="G118" s="114">
        <v>0</v>
      </c>
      <c r="H118" s="107"/>
    </row>
    <row r="119" spans="2:8" ht="15.6">
      <c r="B119" s="106" t="s">
        <v>52</v>
      </c>
      <c r="C119" s="300"/>
      <c r="D119" s="301"/>
      <c r="E119" s="68">
        <f>SUM(E118)</f>
        <v>0</v>
      </c>
      <c r="F119" s="68">
        <f>SUM(F118)</f>
        <v>0</v>
      </c>
      <c r="G119" s="116">
        <f>SUM(G118)</f>
        <v>0</v>
      </c>
      <c r="H119" s="107"/>
    </row>
    <row r="120" spans="2:8">
      <c r="B120" s="108" t="s">
        <v>63</v>
      </c>
      <c r="C120" s="308" t="s">
        <v>283</v>
      </c>
      <c r="D120" s="309"/>
      <c r="E120" s="97">
        <v>1701.7</v>
      </c>
      <c r="F120" s="97">
        <v>1701.7</v>
      </c>
      <c r="G120" s="112">
        <v>1</v>
      </c>
      <c r="H120" s="107"/>
    </row>
    <row r="121" spans="2:8" ht="15.6">
      <c r="B121" s="106" t="s">
        <v>52</v>
      </c>
      <c r="C121" s="300"/>
      <c r="D121" s="301"/>
      <c r="E121" s="68">
        <f>SUM(E120)</f>
        <v>1701.7</v>
      </c>
      <c r="F121" s="68">
        <f>SUM(F120)</f>
        <v>1701.7</v>
      </c>
      <c r="G121" s="116">
        <f>SUM(G120)</f>
        <v>1</v>
      </c>
      <c r="H121" s="107"/>
    </row>
    <row r="122" spans="2:8" ht="15.6">
      <c r="B122" s="108" t="s">
        <v>64</v>
      </c>
      <c r="C122" s="302"/>
      <c r="D122" s="303"/>
      <c r="E122" s="109">
        <v>0</v>
      </c>
      <c r="F122" s="109">
        <v>0</v>
      </c>
      <c r="G122" s="115">
        <v>0</v>
      </c>
      <c r="H122" s="107"/>
    </row>
    <row r="123" spans="2:8" ht="15.6">
      <c r="B123" s="106" t="s">
        <v>52</v>
      </c>
      <c r="C123" s="300"/>
      <c r="D123" s="301"/>
      <c r="E123" s="68">
        <f>SUM(E122)</f>
        <v>0</v>
      </c>
      <c r="F123" s="68">
        <f>SUM(F122)</f>
        <v>0</v>
      </c>
      <c r="G123" s="116">
        <f>SUM(G122)</f>
        <v>0</v>
      </c>
      <c r="H123" s="107"/>
    </row>
    <row r="124" spans="2:8">
      <c r="B124" s="108" t="s">
        <v>124</v>
      </c>
      <c r="C124" s="302"/>
      <c r="D124" s="303"/>
      <c r="E124" s="97">
        <v>0</v>
      </c>
      <c r="F124" s="97">
        <v>0</v>
      </c>
      <c r="G124" s="114">
        <v>0</v>
      </c>
      <c r="H124" s="107"/>
    </row>
    <row r="125" spans="2:8" ht="15.6">
      <c r="B125" s="106" t="s">
        <v>52</v>
      </c>
      <c r="C125" s="300"/>
      <c r="D125" s="301"/>
      <c r="E125" s="68">
        <f>SUM(E124)</f>
        <v>0</v>
      </c>
      <c r="F125" s="68">
        <f>SUM(F124)</f>
        <v>0</v>
      </c>
      <c r="G125" s="116">
        <f>SUM(G124)</f>
        <v>0</v>
      </c>
      <c r="H125" s="107"/>
    </row>
    <row r="126" spans="2:8" ht="18">
      <c r="B126" s="304"/>
      <c r="C126" s="305"/>
      <c r="D126" s="305"/>
      <c r="E126" s="305"/>
      <c r="F126" s="305"/>
      <c r="G126" s="305"/>
      <c r="H126" s="306"/>
    </row>
    <row r="127" spans="2:8" ht="31.2">
      <c r="B127" s="106" t="s">
        <v>125</v>
      </c>
      <c r="C127" s="300"/>
      <c r="D127" s="301"/>
      <c r="E127" s="110">
        <f>SUM(E86+E111+E117+E119+E121+E123+E125)</f>
        <v>152274.91999999998</v>
      </c>
      <c r="F127" s="110">
        <f>SUM(F86+F111+F117+F119+F121+F123+F125)</f>
        <v>83268.19</v>
      </c>
      <c r="G127" s="111">
        <f>SUM(G86+G111+G117+G119+G121+G123+G125)</f>
        <v>213</v>
      </c>
      <c r="H127" s="107"/>
    </row>
    <row r="130" spans="2:4">
      <c r="B130" s="54" t="s">
        <v>297</v>
      </c>
    </row>
    <row r="131" spans="2:4">
      <c r="B131" s="54"/>
    </row>
    <row r="132" spans="2:4">
      <c r="B132" s="31" t="s">
        <v>284</v>
      </c>
    </row>
    <row r="133" spans="2:4">
      <c r="B133" s="31" t="s">
        <v>285</v>
      </c>
    </row>
    <row r="134" spans="2:4">
      <c r="B134" s="31" t="s">
        <v>286</v>
      </c>
    </row>
    <row r="135" spans="2:4">
      <c r="B135" s="32"/>
    </row>
    <row r="136" spans="2:4">
      <c r="B136" t="s">
        <v>73</v>
      </c>
    </row>
    <row r="137" spans="2:4">
      <c r="B137" s="307"/>
      <c r="C137" s="307"/>
      <c r="D137" s="307"/>
    </row>
    <row r="138" spans="2:4">
      <c r="B138" s="67" t="s">
        <v>129</v>
      </c>
    </row>
  </sheetData>
  <mergeCells count="181">
    <mergeCell ref="H66:H69"/>
    <mergeCell ref="H74:H77"/>
    <mergeCell ref="H78:H81"/>
    <mergeCell ref="H82:H85"/>
    <mergeCell ref="B4:H4"/>
    <mergeCell ref="B5:H5"/>
    <mergeCell ref="B6:H6"/>
    <mergeCell ref="C7:D7"/>
    <mergeCell ref="B8:B85"/>
    <mergeCell ref="C8:D8"/>
    <mergeCell ref="E8:E13"/>
    <mergeCell ref="G8:G13"/>
    <mergeCell ref="C9:D9"/>
    <mergeCell ref="C10:D10"/>
    <mergeCell ref="E50:E53"/>
    <mergeCell ref="G50:G53"/>
    <mergeCell ref="E54:E57"/>
    <mergeCell ref="G54:G57"/>
    <mergeCell ref="E58:E61"/>
    <mergeCell ref="G58:G61"/>
    <mergeCell ref="G62:G65"/>
    <mergeCell ref="E70:E73"/>
    <mergeCell ref="G70:G73"/>
    <mergeCell ref="C11:D11"/>
    <mergeCell ref="C12:D12"/>
    <mergeCell ref="C13:D13"/>
    <mergeCell ref="C14:D14"/>
    <mergeCell ref="E14:E19"/>
    <mergeCell ref="G14:G19"/>
    <mergeCell ref="C15:D15"/>
    <mergeCell ref="C16:D16"/>
    <mergeCell ref="C17:D17"/>
    <mergeCell ref="C18:D18"/>
    <mergeCell ref="C19:D19"/>
    <mergeCell ref="C20:D20"/>
    <mergeCell ref="E20:E25"/>
    <mergeCell ref="G20:G25"/>
    <mergeCell ref="C21:D21"/>
    <mergeCell ref="C22:D22"/>
    <mergeCell ref="C23:D23"/>
    <mergeCell ref="C24:D24"/>
    <mergeCell ref="C25:D25"/>
    <mergeCell ref="C32:D32"/>
    <mergeCell ref="E32:E37"/>
    <mergeCell ref="G32:G37"/>
    <mergeCell ref="C33:D33"/>
    <mergeCell ref="C34:D34"/>
    <mergeCell ref="C35:D35"/>
    <mergeCell ref="C36:D36"/>
    <mergeCell ref="C37:D37"/>
    <mergeCell ref="C26:D26"/>
    <mergeCell ref="E26:E31"/>
    <mergeCell ref="G26:G31"/>
    <mergeCell ref="C27:D27"/>
    <mergeCell ref="C28:D28"/>
    <mergeCell ref="C29:D29"/>
    <mergeCell ref="C30:D30"/>
    <mergeCell ref="C31:D31"/>
    <mergeCell ref="C42:D42"/>
    <mergeCell ref="E42:E45"/>
    <mergeCell ref="G42:G45"/>
    <mergeCell ref="C43:D43"/>
    <mergeCell ref="C44:D44"/>
    <mergeCell ref="C45:D45"/>
    <mergeCell ref="C38:D38"/>
    <mergeCell ref="E38:E41"/>
    <mergeCell ref="G38:G41"/>
    <mergeCell ref="C39:D39"/>
    <mergeCell ref="C40:D40"/>
    <mergeCell ref="C41:D41"/>
    <mergeCell ref="C50:D50"/>
    <mergeCell ref="C51:D51"/>
    <mergeCell ref="C52:D52"/>
    <mergeCell ref="C53:D53"/>
    <mergeCell ref="C46:D46"/>
    <mergeCell ref="E46:E49"/>
    <mergeCell ref="G46:G49"/>
    <mergeCell ref="C47:D47"/>
    <mergeCell ref="C48:D48"/>
    <mergeCell ref="C49:D49"/>
    <mergeCell ref="C58:D58"/>
    <mergeCell ref="C59:D59"/>
    <mergeCell ref="C60:D60"/>
    <mergeCell ref="C61:D61"/>
    <mergeCell ref="C54:D54"/>
    <mergeCell ref="C55:D55"/>
    <mergeCell ref="C56:D56"/>
    <mergeCell ref="C57:D57"/>
    <mergeCell ref="C66:D66"/>
    <mergeCell ref="E66:E69"/>
    <mergeCell ref="G66:G69"/>
    <mergeCell ref="C67:D67"/>
    <mergeCell ref="C68:D68"/>
    <mergeCell ref="C69:D69"/>
    <mergeCell ref="C62:D62"/>
    <mergeCell ref="E62:E65"/>
    <mergeCell ref="C63:D63"/>
    <mergeCell ref="C64:D64"/>
    <mergeCell ref="C65:D65"/>
    <mergeCell ref="C74:D74"/>
    <mergeCell ref="E74:E77"/>
    <mergeCell ref="G74:G77"/>
    <mergeCell ref="C75:D75"/>
    <mergeCell ref="C76:D76"/>
    <mergeCell ref="C77:D77"/>
    <mergeCell ref="C70:D70"/>
    <mergeCell ref="C71:D71"/>
    <mergeCell ref="C72:D72"/>
    <mergeCell ref="C73:D73"/>
    <mergeCell ref="C82:D82"/>
    <mergeCell ref="E82:E85"/>
    <mergeCell ref="G82:G85"/>
    <mergeCell ref="C83:D83"/>
    <mergeCell ref="C84:D84"/>
    <mergeCell ref="C85:D85"/>
    <mergeCell ref="C78:D78"/>
    <mergeCell ref="E78:E81"/>
    <mergeCell ref="G78:G81"/>
    <mergeCell ref="C79:D79"/>
    <mergeCell ref="C80:D80"/>
    <mergeCell ref="C81:D81"/>
    <mergeCell ref="C86:D86"/>
    <mergeCell ref="B87:B110"/>
    <mergeCell ref="C87:C94"/>
    <mergeCell ref="D87:D88"/>
    <mergeCell ref="E87:E88"/>
    <mergeCell ref="G87:G88"/>
    <mergeCell ref="D89:D90"/>
    <mergeCell ref="E89:E90"/>
    <mergeCell ref="G89:G90"/>
    <mergeCell ref="D91:D92"/>
    <mergeCell ref="E95:E96"/>
    <mergeCell ref="G95:G96"/>
    <mergeCell ref="E105:E106"/>
    <mergeCell ref="G105:G106"/>
    <mergeCell ref="E107:E108"/>
    <mergeCell ref="G107:G108"/>
    <mergeCell ref="E91:E92"/>
    <mergeCell ref="G91:G92"/>
    <mergeCell ref="D93:D94"/>
    <mergeCell ref="E93:E94"/>
    <mergeCell ref="G93:G94"/>
    <mergeCell ref="C95:C98"/>
    <mergeCell ref="D95:D96"/>
    <mergeCell ref="D97:D98"/>
    <mergeCell ref="E97:E98"/>
    <mergeCell ref="G97:G98"/>
    <mergeCell ref="C99:C104"/>
    <mergeCell ref="D99:D100"/>
    <mergeCell ref="E99:E100"/>
    <mergeCell ref="G99:G100"/>
    <mergeCell ref="D101:D102"/>
    <mergeCell ref="E101:E102"/>
    <mergeCell ref="G101:G102"/>
    <mergeCell ref="D103:D104"/>
    <mergeCell ref="E109:E110"/>
    <mergeCell ref="G109:G110"/>
    <mergeCell ref="B112:H112"/>
    <mergeCell ref="C113:D113"/>
    <mergeCell ref="B114:B116"/>
    <mergeCell ref="C114:D114"/>
    <mergeCell ref="C115:D115"/>
    <mergeCell ref="C116:D116"/>
    <mergeCell ref="E103:E104"/>
    <mergeCell ref="G103:G104"/>
    <mergeCell ref="C105:C110"/>
    <mergeCell ref="D105:D106"/>
    <mergeCell ref="D107:D108"/>
    <mergeCell ref="D109:D110"/>
    <mergeCell ref="C123:D123"/>
    <mergeCell ref="C124:D124"/>
    <mergeCell ref="C125:D125"/>
    <mergeCell ref="B126:H126"/>
    <mergeCell ref="C127:D127"/>
    <mergeCell ref="B137:D137"/>
    <mergeCell ref="C117:D117"/>
    <mergeCell ref="C118:D118"/>
    <mergeCell ref="C119:D119"/>
    <mergeCell ref="C120:D120"/>
    <mergeCell ref="C121:D121"/>
    <mergeCell ref="C122:D122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3CE84-A00E-49FF-B142-6D627502025D}">
  <dimension ref="A3:D4"/>
  <sheetViews>
    <sheetView workbookViewId="0">
      <selection activeCell="D31" sqref="D31"/>
    </sheetView>
  </sheetViews>
  <sheetFormatPr defaultColWidth="8.88671875" defaultRowHeight="14.4"/>
  <cols>
    <col min="1" max="1" width="55" customWidth="1"/>
    <col min="2" max="2" width="30.109375" customWidth="1"/>
    <col min="3" max="3" width="29.33203125" customWidth="1"/>
    <col min="4" max="4" width="45.33203125" customWidth="1"/>
  </cols>
  <sheetData>
    <row r="3" spans="1:4" ht="31.2">
      <c r="B3" s="87" t="s">
        <v>185</v>
      </c>
      <c r="C3" s="88" t="s">
        <v>186</v>
      </c>
      <c r="D3" s="88" t="s">
        <v>9</v>
      </c>
    </row>
    <row r="4" spans="1:4" ht="36">
      <c r="A4" s="89" t="s">
        <v>187</v>
      </c>
      <c r="B4" s="288">
        <v>787037.2</v>
      </c>
      <c r="C4" s="289">
        <v>339889.09</v>
      </c>
      <c r="D4" s="290">
        <v>3161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B7B107-69B7-4389-90A1-52D41816DD6F}">
  <dimension ref="A1:J80"/>
  <sheetViews>
    <sheetView topLeftCell="A54" zoomScale="90" zoomScaleNormal="90" workbookViewId="0">
      <selection activeCell="F68" sqref="F68"/>
    </sheetView>
  </sheetViews>
  <sheetFormatPr defaultColWidth="9.44140625" defaultRowHeight="14.4"/>
  <cols>
    <col min="1" max="1" width="3.44140625" customWidth="1"/>
    <col min="2" max="2" width="45.109375" customWidth="1"/>
    <col min="3" max="3" width="65.88671875" customWidth="1"/>
    <col min="4" max="4" width="16.6640625" customWidth="1"/>
    <col min="5" max="5" width="24.88671875" customWidth="1"/>
    <col min="6" max="6" width="15.33203125" customWidth="1"/>
    <col min="7" max="7" width="34.44140625" customWidth="1"/>
  </cols>
  <sheetData>
    <row r="1" spans="2:7" ht="30" customHeight="1">
      <c r="B1" s="1" t="s">
        <v>0</v>
      </c>
    </row>
    <row r="2" spans="2:7" ht="25.5" customHeight="1">
      <c r="B2" s="1" t="s">
        <v>1</v>
      </c>
      <c r="D2" s="2"/>
      <c r="E2" s="2"/>
    </row>
    <row r="3" spans="2:7" ht="12.75" customHeight="1">
      <c r="B3" s="1"/>
      <c r="D3" s="2"/>
      <c r="E3" s="2"/>
    </row>
    <row r="4" spans="2:7" ht="32.25" customHeight="1">
      <c r="B4" s="339" t="s">
        <v>2</v>
      </c>
      <c r="C4" s="339"/>
      <c r="D4" s="339"/>
      <c r="E4" s="339"/>
      <c r="F4" s="339"/>
      <c r="G4" s="339"/>
    </row>
    <row r="5" spans="2:7" ht="31.5" customHeight="1">
      <c r="B5" s="339" t="s">
        <v>3</v>
      </c>
      <c r="C5" s="339"/>
      <c r="D5" s="339"/>
      <c r="E5" s="339"/>
      <c r="F5" s="339"/>
      <c r="G5" s="339"/>
    </row>
    <row r="6" spans="2:7" ht="26.25" customHeight="1">
      <c r="B6" s="340" t="s">
        <v>4</v>
      </c>
      <c r="C6" s="340"/>
      <c r="D6" s="340"/>
      <c r="E6" s="340"/>
      <c r="F6" s="340"/>
      <c r="G6" s="340"/>
    </row>
    <row r="7" spans="2:7" ht="55.65" customHeight="1">
      <c r="B7" s="3" t="s">
        <v>5</v>
      </c>
      <c r="C7" s="4" t="s">
        <v>6</v>
      </c>
      <c r="D7" s="4" t="s">
        <v>7</v>
      </c>
      <c r="E7" s="4" t="s">
        <v>8</v>
      </c>
      <c r="F7" s="4" t="s">
        <v>9</v>
      </c>
      <c r="G7" s="5" t="s">
        <v>10</v>
      </c>
    </row>
    <row r="8" spans="2:7" ht="36.75" customHeight="1">
      <c r="B8" s="345" t="s">
        <v>11</v>
      </c>
      <c r="C8" s="6" t="s">
        <v>12</v>
      </c>
      <c r="D8" s="56">
        <v>1390</v>
      </c>
      <c r="E8" s="57">
        <v>12.5</v>
      </c>
      <c r="F8" s="39">
        <v>2</v>
      </c>
      <c r="G8" s="7"/>
    </row>
    <row r="9" spans="2:7" ht="29.25" customHeight="1">
      <c r="B9" s="345"/>
      <c r="C9" s="6" t="s">
        <v>12</v>
      </c>
      <c r="D9" s="56">
        <v>4513.51</v>
      </c>
      <c r="E9" s="57">
        <v>3.75</v>
      </c>
      <c r="F9" s="39">
        <v>8</v>
      </c>
      <c r="G9" s="8"/>
    </row>
    <row r="10" spans="2:7" ht="29.25" customHeight="1">
      <c r="B10" s="345"/>
      <c r="C10" s="6" t="s">
        <v>13</v>
      </c>
      <c r="D10" s="56">
        <v>485.25</v>
      </c>
      <c r="E10" s="57">
        <v>3.75</v>
      </c>
      <c r="F10" s="39">
        <v>4</v>
      </c>
      <c r="G10" s="8"/>
    </row>
    <row r="11" spans="2:7" ht="29.25" customHeight="1">
      <c r="B11" s="345"/>
      <c r="C11" s="6" t="s">
        <v>14</v>
      </c>
      <c r="D11" s="56">
        <v>541.88</v>
      </c>
      <c r="E11" s="57">
        <v>3.75</v>
      </c>
      <c r="F11" s="39">
        <v>5</v>
      </c>
      <c r="G11" s="8"/>
    </row>
    <row r="12" spans="2:7" ht="29.25" customHeight="1">
      <c r="B12" s="345"/>
      <c r="C12" s="6" t="s">
        <v>15</v>
      </c>
      <c r="D12" s="56">
        <v>6138.94</v>
      </c>
      <c r="E12" s="57">
        <v>3.75</v>
      </c>
      <c r="F12" s="39">
        <v>11</v>
      </c>
      <c r="G12" s="8"/>
    </row>
    <row r="13" spans="2:7" ht="29.25" customHeight="1">
      <c r="B13" s="345"/>
      <c r="C13" s="6" t="s">
        <v>16</v>
      </c>
      <c r="D13" s="56">
        <v>1827</v>
      </c>
      <c r="E13" s="57">
        <v>3.75</v>
      </c>
      <c r="F13" s="39">
        <v>3</v>
      </c>
      <c r="G13" s="8"/>
    </row>
    <row r="14" spans="2:7" ht="29.25" customHeight="1">
      <c r="B14" s="345"/>
      <c r="C14" s="6" t="s">
        <v>17</v>
      </c>
      <c r="D14" s="56">
        <v>1277.6400000000001</v>
      </c>
      <c r="E14" s="57">
        <v>2.7</v>
      </c>
      <c r="F14" s="39">
        <v>3</v>
      </c>
      <c r="G14" s="8"/>
    </row>
    <row r="15" spans="2:7" ht="29.25" customHeight="1">
      <c r="B15" s="345"/>
      <c r="C15" s="6" t="s">
        <v>18</v>
      </c>
      <c r="D15" s="56">
        <v>714.15</v>
      </c>
      <c r="E15" s="57">
        <v>2.7</v>
      </c>
      <c r="F15" s="39">
        <v>1</v>
      </c>
      <c r="G15" s="8"/>
    </row>
    <row r="16" spans="2:7" ht="29.25" customHeight="1">
      <c r="B16" s="345"/>
      <c r="C16" s="6" t="s">
        <v>19</v>
      </c>
      <c r="D16" s="56">
        <v>1277.6400000000001</v>
      </c>
      <c r="E16" s="57">
        <v>2.7</v>
      </c>
      <c r="F16" s="39">
        <v>3</v>
      </c>
      <c r="G16" s="8"/>
    </row>
    <row r="17" spans="2:7" ht="29.25" customHeight="1">
      <c r="B17" s="345"/>
      <c r="C17" s="6" t="s">
        <v>20</v>
      </c>
      <c r="D17" s="56">
        <v>0</v>
      </c>
      <c r="E17" s="57">
        <v>2.7</v>
      </c>
      <c r="F17" s="39">
        <v>0</v>
      </c>
      <c r="G17" s="252" t="s">
        <v>567</v>
      </c>
    </row>
    <row r="18" spans="2:7" ht="29.25" customHeight="1">
      <c r="B18" s="345"/>
      <c r="C18" s="6" t="s">
        <v>21</v>
      </c>
      <c r="D18" s="56">
        <v>1752.84</v>
      </c>
      <c r="E18" s="57">
        <v>2.7</v>
      </c>
      <c r="F18" s="39">
        <v>12</v>
      </c>
      <c r="G18" s="8"/>
    </row>
    <row r="19" spans="2:7" ht="29.25" customHeight="1">
      <c r="B19" s="345"/>
      <c r="C19" s="6" t="s">
        <v>22</v>
      </c>
      <c r="D19" s="56">
        <v>9642.7800000000007</v>
      </c>
      <c r="E19" s="57">
        <v>2.7</v>
      </c>
      <c r="F19" s="39">
        <v>7</v>
      </c>
      <c r="G19" s="8"/>
    </row>
    <row r="20" spans="2:7" ht="29.25" customHeight="1">
      <c r="B20" s="345"/>
      <c r="C20" s="6" t="s">
        <v>23</v>
      </c>
      <c r="D20" s="56">
        <v>2565.38</v>
      </c>
      <c r="E20" s="57">
        <v>3.75</v>
      </c>
      <c r="F20" s="39">
        <v>8</v>
      </c>
      <c r="G20" s="8"/>
    </row>
    <row r="21" spans="2:7" ht="29.25" customHeight="1">
      <c r="B21" s="345"/>
      <c r="C21" s="6" t="s">
        <v>24</v>
      </c>
      <c r="D21" s="56">
        <v>0</v>
      </c>
      <c r="E21" s="57">
        <v>2.7</v>
      </c>
      <c r="F21" s="39">
        <v>0</v>
      </c>
      <c r="G21" s="252" t="s">
        <v>567</v>
      </c>
    </row>
    <row r="22" spans="2:7" ht="29.25" customHeight="1">
      <c r="B22" s="345"/>
      <c r="C22" s="6" t="s">
        <v>25</v>
      </c>
      <c r="D22" s="56">
        <v>50.4</v>
      </c>
      <c r="E22" s="57">
        <v>4.2</v>
      </c>
      <c r="F22" s="39">
        <v>1</v>
      </c>
      <c r="G22" s="8"/>
    </row>
    <row r="23" spans="2:7" ht="29.25" customHeight="1">
      <c r="B23" s="345"/>
      <c r="C23" s="6" t="s">
        <v>26</v>
      </c>
      <c r="D23" s="56">
        <v>6601.98</v>
      </c>
      <c r="E23" s="57">
        <v>4.2</v>
      </c>
      <c r="F23" s="39">
        <v>5</v>
      </c>
      <c r="G23" s="8"/>
    </row>
    <row r="24" spans="2:7" ht="29.25" customHeight="1">
      <c r="B24" s="345"/>
      <c r="C24" s="6" t="s">
        <v>27</v>
      </c>
      <c r="D24" s="56">
        <v>3815.63</v>
      </c>
      <c r="E24" s="57">
        <v>3.75</v>
      </c>
      <c r="F24" s="39">
        <v>8</v>
      </c>
      <c r="G24" s="8"/>
    </row>
    <row r="25" spans="2:7" ht="29.25" customHeight="1">
      <c r="B25" s="345"/>
      <c r="C25" s="6" t="s">
        <v>28</v>
      </c>
      <c r="D25" s="56">
        <v>0</v>
      </c>
      <c r="E25" s="57">
        <v>3.75</v>
      </c>
      <c r="F25" s="39">
        <v>0</v>
      </c>
      <c r="G25" s="252" t="s">
        <v>567</v>
      </c>
    </row>
    <row r="26" spans="2:7" ht="29.25" customHeight="1">
      <c r="B26" s="345"/>
      <c r="C26" s="6" t="s">
        <v>29</v>
      </c>
      <c r="D26" s="56">
        <v>12.6</v>
      </c>
      <c r="E26" s="57">
        <v>4.2</v>
      </c>
      <c r="F26" s="39">
        <v>1</v>
      </c>
      <c r="G26" s="8"/>
    </row>
    <row r="27" spans="2:7" ht="29.25" customHeight="1">
      <c r="B27" s="345"/>
      <c r="C27" s="6" t="s">
        <v>30</v>
      </c>
      <c r="D27" s="56">
        <v>1952.16</v>
      </c>
      <c r="E27" s="57">
        <v>4.2</v>
      </c>
      <c r="F27" s="39">
        <v>2</v>
      </c>
      <c r="G27" s="8"/>
    </row>
    <row r="28" spans="2:7" ht="29.25" customHeight="1">
      <c r="B28" s="345"/>
      <c r="C28" s="6" t="s">
        <v>31</v>
      </c>
      <c r="D28" s="56">
        <v>0</v>
      </c>
      <c r="E28" s="57">
        <v>3.75</v>
      </c>
      <c r="F28" s="39">
        <v>0</v>
      </c>
      <c r="G28" s="252" t="s">
        <v>567</v>
      </c>
    </row>
    <row r="29" spans="2:7" ht="29.25" customHeight="1">
      <c r="B29" s="345"/>
      <c r="C29" s="6" t="s">
        <v>32</v>
      </c>
      <c r="D29" s="56">
        <v>79.92</v>
      </c>
      <c r="E29" s="57">
        <v>2.7</v>
      </c>
      <c r="F29" s="39">
        <v>2</v>
      </c>
      <c r="G29" s="8"/>
    </row>
    <row r="30" spans="2:7" ht="29.25" customHeight="1">
      <c r="B30" s="345"/>
      <c r="C30" s="6" t="s">
        <v>33</v>
      </c>
      <c r="D30" s="56">
        <v>4054.88</v>
      </c>
      <c r="E30" s="57">
        <v>3.75</v>
      </c>
      <c r="F30" s="39">
        <v>9</v>
      </c>
      <c r="G30" s="8"/>
    </row>
    <row r="31" spans="2:7" ht="29.25" customHeight="1">
      <c r="B31" s="345"/>
      <c r="C31" s="6" t="s">
        <v>34</v>
      </c>
      <c r="D31" s="56">
        <v>9524.0499999999993</v>
      </c>
      <c r="E31" s="57">
        <v>4.2</v>
      </c>
      <c r="F31" s="39">
        <v>22</v>
      </c>
      <c r="G31" s="8"/>
    </row>
    <row r="32" spans="2:7" ht="29.25" customHeight="1">
      <c r="B32" s="345"/>
      <c r="C32" s="6" t="s">
        <v>35</v>
      </c>
      <c r="D32" s="56">
        <v>1417.13</v>
      </c>
      <c r="E32" s="57">
        <v>3.75</v>
      </c>
      <c r="F32" s="39">
        <v>5</v>
      </c>
      <c r="G32" s="8"/>
    </row>
    <row r="33" spans="2:7" ht="29.25" customHeight="1">
      <c r="B33" s="345"/>
      <c r="C33" s="6" t="s">
        <v>36</v>
      </c>
      <c r="D33" s="56">
        <v>75.599999999999994</v>
      </c>
      <c r="E33" s="57">
        <v>2.7</v>
      </c>
      <c r="F33" s="39">
        <v>1</v>
      </c>
      <c r="G33" s="8"/>
    </row>
    <row r="34" spans="2:7" ht="29.25" customHeight="1">
      <c r="B34" s="345"/>
      <c r="C34" s="6" t="s">
        <v>37</v>
      </c>
      <c r="D34" s="56">
        <v>0</v>
      </c>
      <c r="E34" s="57">
        <v>2.7</v>
      </c>
      <c r="F34" s="39">
        <v>0</v>
      </c>
      <c r="G34" s="252" t="s">
        <v>567</v>
      </c>
    </row>
    <row r="35" spans="2:7" ht="29.25" customHeight="1">
      <c r="B35" s="345"/>
      <c r="C35" s="6" t="s">
        <v>38</v>
      </c>
      <c r="D35" s="56">
        <v>0</v>
      </c>
      <c r="E35" s="57">
        <v>2.7</v>
      </c>
      <c r="F35" s="39">
        <v>0</v>
      </c>
      <c r="G35" s="252" t="s">
        <v>567</v>
      </c>
    </row>
    <row r="36" spans="2:7" ht="29.25" customHeight="1">
      <c r="B36" s="345"/>
      <c r="C36" s="6" t="s">
        <v>39</v>
      </c>
      <c r="D36" s="56">
        <v>3536.64</v>
      </c>
      <c r="E36" s="57">
        <v>3.75</v>
      </c>
      <c r="F36" s="39">
        <v>8</v>
      </c>
      <c r="G36" s="8"/>
    </row>
    <row r="37" spans="2:7" ht="29.25" customHeight="1">
      <c r="B37" s="345"/>
      <c r="C37" s="6" t="s">
        <v>40</v>
      </c>
      <c r="D37" s="56">
        <v>251.1</v>
      </c>
      <c r="E37" s="57">
        <v>2.7</v>
      </c>
      <c r="F37" s="39">
        <v>2</v>
      </c>
      <c r="G37" s="8"/>
    </row>
    <row r="38" spans="2:7" ht="29.25" customHeight="1">
      <c r="B38" s="345"/>
      <c r="C38" s="6" t="s">
        <v>41</v>
      </c>
      <c r="D38" s="56">
        <v>3528.75</v>
      </c>
      <c r="E38" s="57">
        <v>3.75</v>
      </c>
      <c r="F38" s="39">
        <v>9</v>
      </c>
      <c r="G38" s="8"/>
    </row>
    <row r="39" spans="2:7" ht="29.25" customHeight="1">
      <c r="B39" s="345"/>
      <c r="C39" s="6" t="s">
        <v>42</v>
      </c>
      <c r="D39" s="56">
        <v>7447.86</v>
      </c>
      <c r="E39" s="57">
        <v>4.2</v>
      </c>
      <c r="F39" s="39">
        <v>11</v>
      </c>
      <c r="G39" s="8"/>
    </row>
    <row r="40" spans="2:7" ht="29.25" customHeight="1">
      <c r="B40" s="345"/>
      <c r="C40" s="6" t="s">
        <v>43</v>
      </c>
      <c r="D40" s="56">
        <v>5934.18</v>
      </c>
      <c r="E40" s="57">
        <v>4.2</v>
      </c>
      <c r="F40" s="39">
        <v>14</v>
      </c>
      <c r="G40" s="8"/>
    </row>
    <row r="41" spans="2:7" ht="29.25" customHeight="1">
      <c r="B41" s="345"/>
      <c r="C41" s="6" t="s">
        <v>44</v>
      </c>
      <c r="D41" s="56">
        <v>5438.58</v>
      </c>
      <c r="E41" s="57">
        <v>4.2</v>
      </c>
      <c r="F41" s="39">
        <v>15</v>
      </c>
      <c r="G41" s="8"/>
    </row>
    <row r="42" spans="2:7" ht="29.25" customHeight="1">
      <c r="B42" s="345"/>
      <c r="C42" s="6" t="s">
        <v>45</v>
      </c>
      <c r="D42" s="56">
        <v>2874</v>
      </c>
      <c r="E42" s="57">
        <v>3.75</v>
      </c>
      <c r="F42" s="39">
        <v>7</v>
      </c>
      <c r="G42" s="8"/>
    </row>
    <row r="43" spans="2:7" ht="29.25" customHeight="1">
      <c r="B43" s="345"/>
      <c r="C43" s="6" t="s">
        <v>46</v>
      </c>
      <c r="D43" s="56">
        <v>2010.19</v>
      </c>
      <c r="E43" s="57">
        <v>3.75</v>
      </c>
      <c r="F43" s="39">
        <v>10</v>
      </c>
      <c r="G43" s="8"/>
    </row>
    <row r="44" spans="2:7" ht="29.25" customHeight="1">
      <c r="B44" s="345"/>
      <c r="C44" s="6" t="s">
        <v>47</v>
      </c>
      <c r="D44" s="56">
        <v>593.19000000000005</v>
      </c>
      <c r="E44" s="57">
        <v>2.7</v>
      </c>
      <c r="F44" s="39">
        <v>8</v>
      </c>
      <c r="G44" s="8"/>
    </row>
    <row r="45" spans="2:7" ht="29.25" customHeight="1">
      <c r="B45" s="345"/>
      <c r="C45" s="6" t="s">
        <v>48</v>
      </c>
      <c r="D45" s="56">
        <v>203.58</v>
      </c>
      <c r="E45" s="57">
        <v>2.7</v>
      </c>
      <c r="F45" s="39">
        <v>4</v>
      </c>
      <c r="G45" s="8"/>
    </row>
    <row r="46" spans="2:7" ht="29.25" customHeight="1">
      <c r="B46" s="345"/>
      <c r="C46" s="6" t="s">
        <v>49</v>
      </c>
      <c r="D46" s="56">
        <v>335.88</v>
      </c>
      <c r="E46" s="57">
        <v>2.7</v>
      </c>
      <c r="F46" s="39">
        <v>7</v>
      </c>
      <c r="G46" s="8"/>
    </row>
    <row r="47" spans="2:7" ht="29.25" customHeight="1">
      <c r="B47" s="345"/>
      <c r="C47" s="6" t="s">
        <v>50</v>
      </c>
      <c r="D47" s="56">
        <v>776.63</v>
      </c>
      <c r="E47" s="57">
        <v>3.75</v>
      </c>
      <c r="F47" s="39">
        <v>8</v>
      </c>
      <c r="G47" s="8"/>
    </row>
    <row r="48" spans="2:7" ht="29.25" customHeight="1">
      <c r="B48" s="345"/>
      <c r="C48" s="6" t="s">
        <v>51</v>
      </c>
      <c r="D48" s="56">
        <v>753.01</v>
      </c>
      <c r="E48" s="57">
        <v>3.75</v>
      </c>
      <c r="F48" s="39">
        <v>7</v>
      </c>
      <c r="G48" s="8"/>
    </row>
    <row r="49" spans="1:10" ht="25.5" customHeight="1">
      <c r="B49" s="9" t="s">
        <v>52</v>
      </c>
      <c r="C49" s="6"/>
      <c r="D49" s="58">
        <f>SUM(D8:D48)</f>
        <v>93394.95</v>
      </c>
      <c r="E49" s="58">
        <f>SUM(E8:E48)</f>
        <v>150.35000000000002</v>
      </c>
      <c r="F49" s="61">
        <f>SUM(F8:F48)</f>
        <v>233</v>
      </c>
      <c r="G49" s="8"/>
    </row>
    <row r="50" spans="1:10" ht="25.5" customHeight="1">
      <c r="B50" s="345" t="s">
        <v>53</v>
      </c>
      <c r="C50" s="6" t="s">
        <v>54</v>
      </c>
      <c r="D50" s="56">
        <v>0</v>
      </c>
      <c r="E50" s="57">
        <v>0</v>
      </c>
      <c r="F50" s="39">
        <v>0</v>
      </c>
      <c r="G50" s="252" t="s">
        <v>567</v>
      </c>
    </row>
    <row r="51" spans="1:10" ht="25.5" customHeight="1">
      <c r="B51" s="345"/>
      <c r="C51" s="6" t="s">
        <v>55</v>
      </c>
      <c r="D51" s="56">
        <v>306</v>
      </c>
      <c r="E51" s="57">
        <v>9.25</v>
      </c>
      <c r="F51" s="39">
        <v>3</v>
      </c>
      <c r="G51" s="8"/>
      <c r="H51" s="11"/>
      <c r="I51" s="11"/>
      <c r="J51" s="11"/>
    </row>
    <row r="52" spans="1:10" ht="25.5" customHeight="1">
      <c r="B52" s="12" t="s">
        <v>52</v>
      </c>
      <c r="C52" s="12"/>
      <c r="D52" s="58">
        <f>SUM(D50:D51)</f>
        <v>306</v>
      </c>
      <c r="E52" s="58">
        <f>SUM(E50:E51)</f>
        <v>9.25</v>
      </c>
      <c r="F52" s="61">
        <f>SUM(F50:F51)</f>
        <v>3</v>
      </c>
      <c r="G52" s="8"/>
      <c r="H52" s="11"/>
      <c r="I52" s="11"/>
      <c r="J52" s="11"/>
    </row>
    <row r="53" spans="1:10" ht="31.5" customHeight="1">
      <c r="B53" s="346" t="s">
        <v>56</v>
      </c>
      <c r="C53" s="346"/>
      <c r="D53" s="346"/>
      <c r="E53" s="346"/>
      <c r="F53" s="346"/>
      <c r="G53" s="346"/>
    </row>
    <row r="54" spans="1:10" ht="53.25" customHeight="1">
      <c r="A54" s="13"/>
      <c r="B54" s="14" t="s">
        <v>5</v>
      </c>
      <c r="C54" s="14" t="s">
        <v>57</v>
      </c>
      <c r="D54" s="14" t="s">
        <v>7</v>
      </c>
      <c r="E54" s="14" t="s">
        <v>58</v>
      </c>
      <c r="F54" s="14" t="s">
        <v>9</v>
      </c>
      <c r="G54" s="14" t="s">
        <v>59</v>
      </c>
    </row>
    <row r="55" spans="1:10" ht="33" customHeight="1">
      <c r="B55" s="55" t="s">
        <v>60</v>
      </c>
      <c r="C55" s="15"/>
      <c r="D55" s="56">
        <v>0</v>
      </c>
      <c r="E55" s="56">
        <v>0</v>
      </c>
      <c r="F55" s="16">
        <v>0</v>
      </c>
      <c r="G55" s="17"/>
    </row>
    <row r="56" spans="1:10" ht="24.75" customHeight="1">
      <c r="B56" s="18" t="s">
        <v>52</v>
      </c>
      <c r="C56" s="19"/>
      <c r="D56" s="58">
        <f>SUM(D55)</f>
        <v>0</v>
      </c>
      <c r="E56" s="58">
        <f>SUM(E55)</f>
        <v>0</v>
      </c>
      <c r="F56" s="20">
        <f>SUM(F55)</f>
        <v>0</v>
      </c>
      <c r="G56" s="17"/>
    </row>
    <row r="57" spans="1:10" ht="28.5" customHeight="1">
      <c r="B57" s="55" t="s">
        <v>61</v>
      </c>
      <c r="C57" s="21" t="s">
        <v>62</v>
      </c>
      <c r="D57" s="59">
        <v>1642</v>
      </c>
      <c r="E57" s="56">
        <v>1593.55</v>
      </c>
      <c r="F57" s="16">
        <v>30</v>
      </c>
      <c r="G57" s="253" t="s">
        <v>568</v>
      </c>
    </row>
    <row r="58" spans="1:10" ht="29.25" customHeight="1">
      <c r="B58" s="12" t="s">
        <v>52</v>
      </c>
      <c r="C58" s="19"/>
      <c r="D58" s="58">
        <f>SUM(D57)</f>
        <v>1642</v>
      </c>
      <c r="E58" s="58">
        <f>SUM(E57)</f>
        <v>1593.55</v>
      </c>
      <c r="F58" s="20">
        <f>SUM(F57)</f>
        <v>30</v>
      </c>
      <c r="G58" s="72"/>
      <c r="I58" s="23"/>
    </row>
    <row r="59" spans="1:10" ht="24" customHeight="1">
      <c r="B59" s="55" t="s">
        <v>63</v>
      </c>
      <c r="C59" s="15"/>
      <c r="D59" s="56">
        <v>0</v>
      </c>
      <c r="E59" s="56">
        <v>0</v>
      </c>
      <c r="F59" s="62">
        <v>0</v>
      </c>
      <c r="G59" s="6"/>
    </row>
    <row r="60" spans="1:10" ht="27.15" customHeight="1">
      <c r="B60" s="18" t="s">
        <v>52</v>
      </c>
      <c r="C60" s="19"/>
      <c r="D60" s="58">
        <f>SUM(D59)</f>
        <v>0</v>
      </c>
      <c r="E60" s="58">
        <f>SUM(E59)</f>
        <v>0</v>
      </c>
      <c r="F60" s="20">
        <f>SUM(F59)</f>
        <v>0</v>
      </c>
      <c r="G60" s="6"/>
    </row>
    <row r="61" spans="1:10" ht="47.25" customHeight="1">
      <c r="B61" s="342" t="s">
        <v>64</v>
      </c>
      <c r="C61" s="24" t="s">
        <v>65</v>
      </c>
      <c r="D61" s="59">
        <v>14086.9</v>
      </c>
      <c r="E61" s="69">
        <v>13146.15</v>
      </c>
      <c r="F61" s="63">
        <v>1</v>
      </c>
      <c r="G61" s="254" t="s">
        <v>569</v>
      </c>
      <c r="I61" s="23"/>
    </row>
    <row r="62" spans="1:10" ht="46.8">
      <c r="B62" s="343"/>
      <c r="C62" s="24" t="s">
        <v>66</v>
      </c>
      <c r="D62" s="69">
        <v>0</v>
      </c>
      <c r="E62" s="69">
        <v>0</v>
      </c>
      <c r="F62" s="63">
        <v>1</v>
      </c>
      <c r="G62" s="25"/>
    </row>
    <row r="63" spans="1:10" ht="57" customHeight="1">
      <c r="B63" s="343"/>
      <c r="C63" s="24" t="s">
        <v>67</v>
      </c>
      <c r="D63" s="56">
        <v>3825</v>
      </c>
      <c r="E63" s="69">
        <v>5100</v>
      </c>
      <c r="F63" s="63">
        <v>1</v>
      </c>
      <c r="G63" s="22"/>
    </row>
    <row r="64" spans="1:10" ht="28.5" customHeight="1">
      <c r="B64" s="343"/>
      <c r="C64" s="24" t="s">
        <v>68</v>
      </c>
      <c r="D64" s="59">
        <v>18300</v>
      </c>
      <c r="E64" s="70">
        <v>9150</v>
      </c>
      <c r="F64" s="71">
        <v>1</v>
      </c>
      <c r="G64" s="22" t="s">
        <v>69</v>
      </c>
    </row>
    <row r="65" spans="2:7" ht="31.2">
      <c r="B65" s="344"/>
      <c r="C65" s="24" t="s">
        <v>70</v>
      </c>
      <c r="D65" s="69">
        <v>0</v>
      </c>
      <c r="E65" s="69">
        <v>0</v>
      </c>
      <c r="F65" s="63">
        <v>1</v>
      </c>
      <c r="G65" s="6"/>
    </row>
    <row r="66" spans="2:7" ht="33" customHeight="1">
      <c r="B66" s="12" t="s">
        <v>52</v>
      </c>
      <c r="C66" s="19"/>
      <c r="D66" s="68">
        <f>SUM(D61:D65)</f>
        <v>36211.9</v>
      </c>
      <c r="E66" s="68">
        <f>SUM(E61:E65)</f>
        <v>27396.15</v>
      </c>
      <c r="F66" s="20">
        <f>SUM(F61:F65)</f>
        <v>5</v>
      </c>
      <c r="G66" s="6"/>
    </row>
    <row r="67" spans="2:7" ht="19.8" customHeight="1">
      <c r="B67" s="341"/>
      <c r="C67" s="341"/>
      <c r="D67" s="341"/>
      <c r="E67" s="341"/>
      <c r="F67" s="341"/>
      <c r="G67" s="341"/>
    </row>
    <row r="68" spans="2:7" ht="54" customHeight="1">
      <c r="B68" s="18" t="s">
        <v>71</v>
      </c>
      <c r="C68" s="26"/>
      <c r="D68" s="60">
        <f>D66+D60+D58+D56+D52+D49</f>
        <v>131554.85</v>
      </c>
      <c r="E68" s="60">
        <f>E66+E60+E58+E56+E52+E49</f>
        <v>29149.3</v>
      </c>
      <c r="F68" s="27">
        <f>F66+F60+F58+F56+F52+F49</f>
        <v>271</v>
      </c>
      <c r="G68" s="10"/>
    </row>
    <row r="69" spans="2:7">
      <c r="B69" s="28"/>
      <c r="C69" s="29"/>
      <c r="D69" s="29"/>
      <c r="E69" s="29"/>
      <c r="F69" s="29"/>
    </row>
    <row r="70" spans="2:7">
      <c r="B70" s="28"/>
      <c r="C70" s="29"/>
      <c r="D70" s="29"/>
      <c r="E70" s="29"/>
      <c r="F70" s="29"/>
    </row>
    <row r="71" spans="2:7">
      <c r="B71" s="30" t="s">
        <v>126</v>
      </c>
    </row>
    <row r="72" spans="2:7">
      <c r="B72" s="30"/>
    </row>
    <row r="73" spans="2:7">
      <c r="B73" s="31" t="s">
        <v>127</v>
      </c>
    </row>
    <row r="74" spans="2:7">
      <c r="B74" s="31" t="s">
        <v>72</v>
      </c>
    </row>
    <row r="75" spans="2:7">
      <c r="B75" s="31" t="s">
        <v>128</v>
      </c>
    </row>
    <row r="76" spans="2:7">
      <c r="B76" s="32"/>
    </row>
    <row r="77" spans="2:7">
      <c r="B77" t="s">
        <v>73</v>
      </c>
    </row>
    <row r="78" spans="2:7">
      <c r="B78" s="307"/>
      <c r="C78" s="307"/>
      <c r="D78" s="307"/>
    </row>
    <row r="79" spans="2:7">
      <c r="B79" s="67" t="s">
        <v>129</v>
      </c>
    </row>
    <row r="80" spans="2:7" ht="15.9" customHeight="1"/>
  </sheetData>
  <mergeCells count="9">
    <mergeCell ref="B78:D78"/>
    <mergeCell ref="B67:G67"/>
    <mergeCell ref="B61:B65"/>
    <mergeCell ref="B4:G4"/>
    <mergeCell ref="B5:G5"/>
    <mergeCell ref="B6:G6"/>
    <mergeCell ref="B8:B48"/>
    <mergeCell ref="B50:B51"/>
    <mergeCell ref="B53:G53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2EB68B-DFB3-425D-B007-F5D1E758B026}">
  <dimension ref="A1:J123"/>
  <sheetViews>
    <sheetView topLeftCell="A98" workbookViewId="0">
      <selection activeCell="F111" sqref="F111"/>
    </sheetView>
  </sheetViews>
  <sheetFormatPr defaultColWidth="9.109375" defaultRowHeight="14.4"/>
  <cols>
    <col min="1" max="1" width="3.44140625" customWidth="1"/>
    <col min="2" max="2" width="45.109375" customWidth="1"/>
    <col min="3" max="3" width="31.109375" style="34" customWidth="1"/>
    <col min="4" max="4" width="16.6640625" customWidth="1"/>
    <col min="5" max="5" width="24.88671875" customWidth="1"/>
    <col min="6" max="6" width="15.33203125" customWidth="1"/>
    <col min="7" max="7" width="34.44140625" customWidth="1"/>
  </cols>
  <sheetData>
    <row r="1" spans="2:7" ht="30" customHeight="1">
      <c r="B1" s="33" t="s">
        <v>0</v>
      </c>
    </row>
    <row r="2" spans="2:7" ht="25.5" customHeight="1">
      <c r="B2" s="33" t="s">
        <v>1</v>
      </c>
      <c r="D2" s="35"/>
      <c r="E2" s="35"/>
    </row>
    <row r="3" spans="2:7" ht="12.75" customHeight="1">
      <c r="B3" s="33"/>
      <c r="D3" s="35"/>
      <c r="E3" s="35"/>
    </row>
    <row r="4" spans="2:7" ht="32.25" customHeight="1">
      <c r="B4" s="339" t="s">
        <v>2</v>
      </c>
      <c r="C4" s="339"/>
      <c r="D4" s="339"/>
      <c r="E4" s="339"/>
      <c r="F4" s="339"/>
      <c r="G4" s="339"/>
    </row>
    <row r="5" spans="2:7" ht="31.5" customHeight="1">
      <c r="B5" s="347" t="s">
        <v>74</v>
      </c>
      <c r="C5" s="347"/>
      <c r="D5" s="347"/>
      <c r="E5" s="347"/>
      <c r="F5" s="347"/>
      <c r="G5" s="347"/>
    </row>
    <row r="6" spans="2:7" ht="26.25" customHeight="1">
      <c r="B6" s="348" t="s">
        <v>4</v>
      </c>
      <c r="C6" s="348"/>
      <c r="D6" s="348"/>
      <c r="E6" s="348"/>
      <c r="F6" s="348"/>
      <c r="G6" s="348"/>
    </row>
    <row r="7" spans="2:7" ht="72" customHeight="1">
      <c r="B7" s="36" t="s">
        <v>5</v>
      </c>
      <c r="C7" s="37" t="s">
        <v>6</v>
      </c>
      <c r="D7" s="37" t="s">
        <v>7</v>
      </c>
      <c r="E7" s="37" t="s">
        <v>8</v>
      </c>
      <c r="F7" s="37" t="s">
        <v>9</v>
      </c>
      <c r="G7" s="37" t="s">
        <v>10</v>
      </c>
    </row>
    <row r="8" spans="2:7" ht="50.1" customHeight="1">
      <c r="B8" s="349" t="s">
        <v>75</v>
      </c>
      <c r="C8" s="6" t="s">
        <v>76</v>
      </c>
      <c r="D8" s="56">
        <v>723.08</v>
      </c>
      <c r="E8" s="56">
        <v>3</v>
      </c>
      <c r="F8" s="39">
        <v>9</v>
      </c>
      <c r="G8" s="40"/>
    </row>
    <row r="9" spans="2:7" ht="50.1" customHeight="1">
      <c r="B9" s="350"/>
      <c r="C9" s="6" t="s">
        <v>76</v>
      </c>
      <c r="D9" s="56">
        <v>396</v>
      </c>
      <c r="E9" s="56">
        <v>6</v>
      </c>
      <c r="F9" s="39">
        <v>1</v>
      </c>
      <c r="G9" s="40"/>
    </row>
    <row r="10" spans="2:7" ht="50.1" customHeight="1">
      <c r="B10" s="350"/>
      <c r="C10" s="6" t="s">
        <v>77</v>
      </c>
      <c r="D10" s="56">
        <v>701.25</v>
      </c>
      <c r="E10" s="56">
        <v>3</v>
      </c>
      <c r="F10" s="39">
        <v>7</v>
      </c>
      <c r="G10" s="40"/>
    </row>
    <row r="11" spans="2:7" ht="50.1" customHeight="1">
      <c r="B11" s="350"/>
      <c r="C11" s="6" t="s">
        <v>77</v>
      </c>
      <c r="D11" s="56">
        <v>0</v>
      </c>
      <c r="E11" s="56">
        <v>6</v>
      </c>
      <c r="F11" s="39">
        <v>0</v>
      </c>
      <c r="G11" s="17" t="s">
        <v>567</v>
      </c>
    </row>
    <row r="12" spans="2:7" ht="50.1" customHeight="1">
      <c r="B12" s="350"/>
      <c r="C12" s="6" t="s">
        <v>78</v>
      </c>
      <c r="D12" s="56">
        <v>0</v>
      </c>
      <c r="E12" s="56">
        <v>4.75</v>
      </c>
      <c r="F12" s="39">
        <v>0</v>
      </c>
      <c r="G12" s="17" t="s">
        <v>567</v>
      </c>
    </row>
    <row r="13" spans="2:7" ht="50.1" customHeight="1">
      <c r="B13" s="350"/>
      <c r="C13" s="6" t="s">
        <v>78</v>
      </c>
      <c r="D13" s="56">
        <v>0</v>
      </c>
      <c r="E13" s="56">
        <v>9.5</v>
      </c>
      <c r="F13" s="39">
        <v>0</v>
      </c>
      <c r="G13" s="17" t="s">
        <v>567</v>
      </c>
    </row>
    <row r="14" spans="2:7" ht="50.1" customHeight="1">
      <c r="B14" s="350"/>
      <c r="C14" s="6" t="s">
        <v>79</v>
      </c>
      <c r="D14" s="56">
        <v>4830.13</v>
      </c>
      <c r="E14" s="56">
        <v>4.25</v>
      </c>
      <c r="F14" s="39">
        <v>14</v>
      </c>
      <c r="G14" s="40"/>
    </row>
    <row r="15" spans="2:7" ht="50.1" customHeight="1">
      <c r="B15" s="350"/>
      <c r="C15" s="6" t="s">
        <v>79</v>
      </c>
      <c r="D15" s="56">
        <v>533.70000000000005</v>
      </c>
      <c r="E15" s="56">
        <v>8.5</v>
      </c>
      <c r="F15" s="39">
        <v>1</v>
      </c>
      <c r="G15" s="41"/>
    </row>
    <row r="16" spans="2:7" ht="50.1" customHeight="1">
      <c r="B16" s="350"/>
      <c r="C16" s="6" t="s">
        <v>80</v>
      </c>
      <c r="D16" s="56">
        <v>187.5</v>
      </c>
      <c r="E16" s="56">
        <v>3</v>
      </c>
      <c r="F16" s="39">
        <v>3</v>
      </c>
      <c r="G16" s="40"/>
    </row>
    <row r="17" spans="2:7" ht="50.1" customHeight="1">
      <c r="B17" s="350"/>
      <c r="C17" s="6" t="s">
        <v>80</v>
      </c>
      <c r="D17" s="56">
        <v>0</v>
      </c>
      <c r="E17" s="56">
        <v>6</v>
      </c>
      <c r="F17" s="39">
        <v>0</v>
      </c>
      <c r="G17" s="17" t="s">
        <v>567</v>
      </c>
    </row>
    <row r="18" spans="2:7" ht="50.1" customHeight="1">
      <c r="B18" s="350"/>
      <c r="C18" s="6" t="s">
        <v>81</v>
      </c>
      <c r="D18" s="56">
        <v>0</v>
      </c>
      <c r="E18" s="56">
        <v>3</v>
      </c>
      <c r="F18" s="39">
        <v>0</v>
      </c>
      <c r="G18" s="17" t="s">
        <v>567</v>
      </c>
    </row>
    <row r="19" spans="2:7" ht="50.1" customHeight="1">
      <c r="B19" s="350"/>
      <c r="C19" s="6" t="s">
        <v>81</v>
      </c>
      <c r="D19" s="56">
        <v>0</v>
      </c>
      <c r="E19" s="56">
        <v>6</v>
      </c>
      <c r="F19" s="39">
        <v>0</v>
      </c>
      <c r="G19" s="17" t="s">
        <v>567</v>
      </c>
    </row>
    <row r="20" spans="2:7" ht="50.1" customHeight="1">
      <c r="B20" s="350"/>
      <c r="C20" s="6" t="s">
        <v>82</v>
      </c>
      <c r="D20" s="56">
        <v>850</v>
      </c>
      <c r="E20" s="56">
        <v>4.25</v>
      </c>
      <c r="F20" s="39">
        <v>3</v>
      </c>
      <c r="G20" s="40"/>
    </row>
    <row r="21" spans="2:7" ht="50.1" customHeight="1">
      <c r="B21" s="350"/>
      <c r="C21" s="6" t="s">
        <v>82</v>
      </c>
      <c r="D21" s="56">
        <v>0</v>
      </c>
      <c r="E21" s="56">
        <v>8.5</v>
      </c>
      <c r="F21" s="39">
        <v>0</v>
      </c>
      <c r="G21" s="17" t="s">
        <v>567</v>
      </c>
    </row>
    <row r="22" spans="2:7" ht="50.1" customHeight="1">
      <c r="B22" s="350"/>
      <c r="C22" s="6" t="s">
        <v>83</v>
      </c>
      <c r="D22" s="56">
        <v>7172.49</v>
      </c>
      <c r="E22" s="56">
        <v>4.75</v>
      </c>
      <c r="F22" s="39">
        <v>9</v>
      </c>
      <c r="G22" s="40"/>
    </row>
    <row r="23" spans="2:7" ht="50.1" customHeight="1">
      <c r="B23" s="350"/>
      <c r="C23" s="6" t="s">
        <v>83</v>
      </c>
      <c r="D23" s="56">
        <v>0</v>
      </c>
      <c r="E23" s="56">
        <v>9.5</v>
      </c>
      <c r="F23" s="39">
        <v>0</v>
      </c>
      <c r="G23" s="17" t="s">
        <v>567</v>
      </c>
    </row>
    <row r="24" spans="2:7" ht="50.1" customHeight="1">
      <c r="B24" s="350"/>
      <c r="C24" s="6" t="s">
        <v>84</v>
      </c>
      <c r="D24" s="56">
        <v>0</v>
      </c>
      <c r="E24" s="56">
        <v>3</v>
      </c>
      <c r="F24" s="39">
        <v>0</v>
      </c>
      <c r="G24" s="17" t="s">
        <v>567</v>
      </c>
    </row>
    <row r="25" spans="2:7" ht="50.1" customHeight="1">
      <c r="B25" s="350"/>
      <c r="C25" s="6" t="s">
        <v>84</v>
      </c>
      <c r="D25" s="56">
        <v>0</v>
      </c>
      <c r="E25" s="56">
        <v>6</v>
      </c>
      <c r="F25" s="39">
        <v>0</v>
      </c>
      <c r="G25" s="17" t="s">
        <v>567</v>
      </c>
    </row>
    <row r="26" spans="2:7" ht="50.1" customHeight="1">
      <c r="B26" s="350"/>
      <c r="C26" s="6" t="s">
        <v>85</v>
      </c>
      <c r="D26" s="56">
        <v>674.16</v>
      </c>
      <c r="E26" s="56">
        <v>4.25</v>
      </c>
      <c r="F26" s="39">
        <v>2</v>
      </c>
      <c r="G26" s="40"/>
    </row>
    <row r="27" spans="2:7" ht="50.1" customHeight="1">
      <c r="B27" s="350"/>
      <c r="C27" s="6" t="s">
        <v>85</v>
      </c>
      <c r="D27" s="56">
        <v>0</v>
      </c>
      <c r="E27" s="56">
        <v>8.5</v>
      </c>
      <c r="F27" s="39">
        <v>0</v>
      </c>
      <c r="G27" s="17" t="s">
        <v>567</v>
      </c>
    </row>
    <row r="28" spans="2:7" ht="50.1" customHeight="1">
      <c r="B28" s="350"/>
      <c r="C28" s="6" t="s">
        <v>86</v>
      </c>
      <c r="D28" s="56">
        <v>2525.13</v>
      </c>
      <c r="E28" s="56">
        <v>3</v>
      </c>
      <c r="F28" s="39">
        <v>9</v>
      </c>
      <c r="G28" s="40"/>
    </row>
    <row r="29" spans="2:7" ht="50.1" customHeight="1">
      <c r="B29" s="350"/>
      <c r="C29" s="6" t="s">
        <v>86</v>
      </c>
      <c r="D29" s="56">
        <v>384</v>
      </c>
      <c r="E29" s="56">
        <v>6</v>
      </c>
      <c r="F29" s="39">
        <v>1</v>
      </c>
      <c r="G29" s="40"/>
    </row>
    <row r="30" spans="2:7" ht="50.1" customHeight="1">
      <c r="B30" s="350"/>
      <c r="C30" s="6" t="s">
        <v>87</v>
      </c>
      <c r="D30" s="56">
        <v>3137.89</v>
      </c>
      <c r="E30" s="56">
        <v>4.25</v>
      </c>
      <c r="F30" s="39">
        <v>5</v>
      </c>
      <c r="G30" s="40"/>
    </row>
    <row r="31" spans="2:7" ht="50.1" customHeight="1">
      <c r="B31" s="350"/>
      <c r="C31" s="6" t="s">
        <v>87</v>
      </c>
      <c r="D31" s="56">
        <v>0</v>
      </c>
      <c r="E31" s="56">
        <v>8.5</v>
      </c>
      <c r="F31" s="39">
        <v>0</v>
      </c>
      <c r="G31" s="17" t="s">
        <v>567</v>
      </c>
    </row>
    <row r="32" spans="2:7" ht="50.1" customHeight="1">
      <c r="B32" s="350"/>
      <c r="C32" s="6" t="s">
        <v>88</v>
      </c>
      <c r="D32" s="56">
        <v>0</v>
      </c>
      <c r="E32" s="56">
        <v>3</v>
      </c>
      <c r="F32" s="39">
        <v>0</v>
      </c>
      <c r="G32" s="17" t="s">
        <v>567</v>
      </c>
    </row>
    <row r="33" spans="2:7" ht="50.1" customHeight="1">
      <c r="B33" s="350"/>
      <c r="C33" s="6" t="s">
        <v>88</v>
      </c>
      <c r="D33" s="56">
        <v>0</v>
      </c>
      <c r="E33" s="56">
        <v>6</v>
      </c>
      <c r="F33" s="39">
        <v>0</v>
      </c>
      <c r="G33" s="17" t="s">
        <v>567</v>
      </c>
    </row>
    <row r="34" spans="2:7" ht="50.1" customHeight="1">
      <c r="B34" s="350"/>
      <c r="C34" s="6" t="s">
        <v>89</v>
      </c>
      <c r="D34" s="56">
        <v>1421.63</v>
      </c>
      <c r="E34" s="56">
        <v>4.25</v>
      </c>
      <c r="F34" s="39">
        <v>4</v>
      </c>
      <c r="G34" s="40"/>
    </row>
    <row r="35" spans="2:7" ht="50.1" customHeight="1">
      <c r="B35" s="350"/>
      <c r="C35" s="6" t="s">
        <v>89</v>
      </c>
      <c r="D35" s="56">
        <v>0</v>
      </c>
      <c r="E35" s="56">
        <v>8.5</v>
      </c>
      <c r="F35" s="39">
        <v>0</v>
      </c>
      <c r="G35" s="17" t="s">
        <v>567</v>
      </c>
    </row>
    <row r="36" spans="2:7" ht="50.1" customHeight="1">
      <c r="B36" s="350"/>
      <c r="C36" s="6" t="s">
        <v>90</v>
      </c>
      <c r="D36" s="56">
        <v>309</v>
      </c>
      <c r="E36" s="56">
        <v>3</v>
      </c>
      <c r="F36" s="39">
        <v>5</v>
      </c>
      <c r="G36" s="40"/>
    </row>
    <row r="37" spans="2:7" ht="50.1" customHeight="1">
      <c r="B37" s="350"/>
      <c r="C37" s="6" t="s">
        <v>90</v>
      </c>
      <c r="D37" s="56">
        <v>593.25</v>
      </c>
      <c r="E37" s="56">
        <v>6</v>
      </c>
      <c r="F37" s="39">
        <v>2</v>
      </c>
      <c r="G37" s="40"/>
    </row>
    <row r="38" spans="2:7" ht="50.1" customHeight="1">
      <c r="B38" s="350"/>
      <c r="C38" s="6" t="s">
        <v>91</v>
      </c>
      <c r="D38" s="56">
        <v>182.75</v>
      </c>
      <c r="E38" s="56">
        <v>4.25</v>
      </c>
      <c r="F38" s="39">
        <v>3</v>
      </c>
      <c r="G38" s="40"/>
    </row>
    <row r="39" spans="2:7" ht="50.1" customHeight="1">
      <c r="B39" s="350"/>
      <c r="C39" s="6" t="s">
        <v>91</v>
      </c>
      <c r="D39" s="56">
        <v>0</v>
      </c>
      <c r="E39" s="56">
        <v>8.5</v>
      </c>
      <c r="F39" s="39">
        <v>0</v>
      </c>
      <c r="G39" s="17" t="s">
        <v>567</v>
      </c>
    </row>
    <row r="40" spans="2:7" ht="50.1" customHeight="1">
      <c r="B40" s="350"/>
      <c r="C40" s="6" t="s">
        <v>92</v>
      </c>
      <c r="D40" s="56">
        <v>187</v>
      </c>
      <c r="E40" s="56">
        <v>4.25</v>
      </c>
      <c r="F40" s="39">
        <v>2</v>
      </c>
      <c r="G40" s="40"/>
    </row>
    <row r="41" spans="2:7" ht="50.1" customHeight="1">
      <c r="B41" s="350"/>
      <c r="C41" s="6" t="s">
        <v>92</v>
      </c>
      <c r="D41" s="56">
        <v>0</v>
      </c>
      <c r="E41" s="56">
        <v>8.5</v>
      </c>
      <c r="F41" s="39">
        <v>0</v>
      </c>
      <c r="G41" s="17" t="s">
        <v>567</v>
      </c>
    </row>
    <row r="42" spans="2:7" ht="50.1" customHeight="1">
      <c r="B42" s="350"/>
      <c r="C42" s="6" t="s">
        <v>93</v>
      </c>
      <c r="D42" s="56">
        <v>791.26</v>
      </c>
      <c r="E42" s="56">
        <v>3</v>
      </c>
      <c r="F42" s="39">
        <v>3</v>
      </c>
      <c r="G42" s="40"/>
    </row>
    <row r="43" spans="2:7" ht="50.1" customHeight="1">
      <c r="B43" s="350"/>
      <c r="C43" s="6" t="s">
        <v>93</v>
      </c>
      <c r="D43" s="56">
        <v>0</v>
      </c>
      <c r="E43" s="56">
        <v>6</v>
      </c>
      <c r="F43" s="39">
        <v>0</v>
      </c>
      <c r="G43" s="17" t="s">
        <v>567</v>
      </c>
    </row>
    <row r="44" spans="2:7" ht="50.1" customHeight="1">
      <c r="B44" s="350"/>
      <c r="C44" s="6" t="s">
        <v>94</v>
      </c>
      <c r="D44" s="56">
        <v>1117.22</v>
      </c>
      <c r="E44" s="56">
        <v>4.25</v>
      </c>
      <c r="F44" s="39">
        <v>3</v>
      </c>
      <c r="G44" s="40"/>
    </row>
    <row r="45" spans="2:7" ht="50.1" customHeight="1">
      <c r="B45" s="350"/>
      <c r="C45" s="6" t="s">
        <v>94</v>
      </c>
      <c r="D45" s="56">
        <v>0</v>
      </c>
      <c r="E45" s="56">
        <v>8.5</v>
      </c>
      <c r="F45" s="39">
        <v>0</v>
      </c>
      <c r="G45" s="17" t="s">
        <v>567</v>
      </c>
    </row>
    <row r="46" spans="2:7" ht="50.1" customHeight="1">
      <c r="B46" s="350"/>
      <c r="C46" s="6" t="s">
        <v>95</v>
      </c>
      <c r="D46" s="56">
        <f>71.25</f>
        <v>71.25</v>
      </c>
      <c r="E46" s="56">
        <v>3</v>
      </c>
      <c r="F46" s="39">
        <v>1</v>
      </c>
      <c r="G46" s="40"/>
    </row>
    <row r="47" spans="2:7" ht="50.1" customHeight="1">
      <c r="B47" s="350"/>
      <c r="C47" s="6" t="s">
        <v>95</v>
      </c>
      <c r="D47" s="56">
        <f>120+264</f>
        <v>384</v>
      </c>
      <c r="E47" s="56">
        <v>6</v>
      </c>
      <c r="F47" s="39">
        <v>1</v>
      </c>
      <c r="G47" s="40"/>
    </row>
    <row r="48" spans="2:7" ht="50.1" customHeight="1">
      <c r="B48" s="350"/>
      <c r="C48" s="6" t="s">
        <v>96</v>
      </c>
      <c r="D48" s="56">
        <f>93+40.5</f>
        <v>133.5</v>
      </c>
      <c r="E48" s="56">
        <v>3</v>
      </c>
      <c r="F48" s="39">
        <v>2</v>
      </c>
      <c r="G48" s="40"/>
    </row>
    <row r="49" spans="2:7" ht="50.1" customHeight="1">
      <c r="B49" s="350"/>
      <c r="C49" s="6" t="s">
        <v>96</v>
      </c>
      <c r="D49" s="56">
        <v>0</v>
      </c>
      <c r="E49" s="56">
        <v>6</v>
      </c>
      <c r="F49" s="39">
        <v>0</v>
      </c>
      <c r="G49" s="17" t="s">
        <v>567</v>
      </c>
    </row>
    <row r="50" spans="2:7" ht="50.1" customHeight="1">
      <c r="B50" s="350"/>
      <c r="C50" s="6" t="s">
        <v>97</v>
      </c>
      <c r="D50" s="56">
        <f>769.25+63.75+221+1085.88+231.63+162.03</f>
        <v>2533.5400000000004</v>
      </c>
      <c r="E50" s="56">
        <v>4.25</v>
      </c>
      <c r="F50" s="39">
        <v>9</v>
      </c>
      <c r="G50" s="40"/>
    </row>
    <row r="51" spans="2:7" ht="50.1" customHeight="1">
      <c r="B51" s="350"/>
      <c r="C51" s="6" t="s">
        <v>97</v>
      </c>
      <c r="D51" s="56">
        <v>0</v>
      </c>
      <c r="E51" s="56">
        <v>8.5</v>
      </c>
      <c r="F51" s="39">
        <v>0</v>
      </c>
      <c r="G51" s="17" t="s">
        <v>567</v>
      </c>
    </row>
    <row r="52" spans="2:7" ht="50.1" customHeight="1">
      <c r="B52" s="350"/>
      <c r="C52" s="6" t="s">
        <v>98</v>
      </c>
      <c r="D52" s="56">
        <v>0</v>
      </c>
      <c r="E52" s="56">
        <v>3</v>
      </c>
      <c r="F52" s="39">
        <v>0</v>
      </c>
      <c r="G52" s="17" t="s">
        <v>567</v>
      </c>
    </row>
    <row r="53" spans="2:7" ht="50.1" customHeight="1">
      <c r="B53" s="350"/>
      <c r="C53" s="6" t="s">
        <v>98</v>
      </c>
      <c r="D53" s="56">
        <f>147.47+297</f>
        <v>444.47</v>
      </c>
      <c r="E53" s="56">
        <v>6</v>
      </c>
      <c r="F53" s="39">
        <v>2</v>
      </c>
      <c r="G53" s="40"/>
    </row>
    <row r="54" spans="2:7" ht="50.1" customHeight="1">
      <c r="B54" s="350"/>
      <c r="C54" s="6" t="s">
        <v>99</v>
      </c>
      <c r="D54" s="56">
        <f>329.38+246.5+524.88</f>
        <v>1100.76</v>
      </c>
      <c r="E54" s="56">
        <v>4.25</v>
      </c>
      <c r="F54" s="39">
        <v>3</v>
      </c>
      <c r="G54" s="40"/>
    </row>
    <row r="55" spans="2:7" ht="50.1" customHeight="1">
      <c r="B55" s="350"/>
      <c r="C55" s="6" t="s">
        <v>99</v>
      </c>
      <c r="D55" s="56">
        <v>0</v>
      </c>
      <c r="E55" s="56">
        <v>8.5</v>
      </c>
      <c r="F55" s="39">
        <v>0</v>
      </c>
      <c r="G55" s="17" t="s">
        <v>567</v>
      </c>
    </row>
    <row r="56" spans="2:7" ht="50.1" customHeight="1">
      <c r="B56" s="350"/>
      <c r="C56" s="6" t="s">
        <v>100</v>
      </c>
      <c r="D56" s="56">
        <v>502.5</v>
      </c>
      <c r="E56" s="56">
        <v>3</v>
      </c>
      <c r="F56" s="39">
        <v>7</v>
      </c>
      <c r="G56" s="40"/>
    </row>
    <row r="57" spans="2:7" ht="50.1" customHeight="1">
      <c r="B57" s="350"/>
      <c r="C57" s="6" t="s">
        <v>100</v>
      </c>
      <c r="D57" s="56">
        <v>0</v>
      </c>
      <c r="E57" s="56">
        <v>6</v>
      </c>
      <c r="F57" s="39">
        <v>0</v>
      </c>
      <c r="G57" s="17" t="s">
        <v>567</v>
      </c>
    </row>
    <row r="58" spans="2:7" ht="50.1" customHeight="1">
      <c r="B58" s="350"/>
      <c r="C58" s="6" t="s">
        <v>101</v>
      </c>
      <c r="D58" s="56">
        <v>670.63</v>
      </c>
      <c r="E58" s="56">
        <v>3</v>
      </c>
      <c r="F58" s="39">
        <v>6</v>
      </c>
      <c r="G58" s="40"/>
    </row>
    <row r="59" spans="2:7" ht="50.1" customHeight="1">
      <c r="B59" s="350"/>
      <c r="C59" s="6" t="s">
        <v>101</v>
      </c>
      <c r="D59" s="56">
        <v>0</v>
      </c>
      <c r="E59" s="56">
        <v>6</v>
      </c>
      <c r="F59" s="39">
        <v>0</v>
      </c>
      <c r="G59" s="17" t="s">
        <v>567</v>
      </c>
    </row>
    <row r="60" spans="2:7" ht="50.1" customHeight="1">
      <c r="B60" s="350"/>
      <c r="C60" s="6" t="s">
        <v>102</v>
      </c>
      <c r="D60" s="56">
        <v>183</v>
      </c>
      <c r="E60" s="56">
        <v>3</v>
      </c>
      <c r="F60" s="39">
        <v>2</v>
      </c>
      <c r="G60" s="40"/>
    </row>
    <row r="61" spans="2:7" ht="50.1" customHeight="1">
      <c r="B61" s="350"/>
      <c r="C61" s="6" t="s">
        <v>102</v>
      </c>
      <c r="D61" s="56">
        <v>0</v>
      </c>
      <c r="E61" s="56">
        <v>6</v>
      </c>
      <c r="F61" s="39">
        <v>0</v>
      </c>
      <c r="G61" s="17" t="s">
        <v>567</v>
      </c>
    </row>
    <row r="62" spans="2:7" ht="50.1" customHeight="1">
      <c r="B62" s="350"/>
      <c r="C62" s="6" t="s">
        <v>103</v>
      </c>
      <c r="D62" s="56">
        <f>247.5+253.13</f>
        <v>500.63</v>
      </c>
      <c r="E62" s="56">
        <v>3</v>
      </c>
      <c r="F62" s="39">
        <v>1</v>
      </c>
      <c r="G62" s="40"/>
    </row>
    <row r="63" spans="2:7" ht="50.1" customHeight="1">
      <c r="B63" s="350"/>
      <c r="C63" s="6" t="s">
        <v>103</v>
      </c>
      <c r="D63" s="56">
        <f>472.5+116.25+120+191.25</f>
        <v>900</v>
      </c>
      <c r="E63" s="56">
        <v>6</v>
      </c>
      <c r="F63" s="39">
        <v>4</v>
      </c>
      <c r="G63" s="40"/>
    </row>
    <row r="64" spans="2:7" ht="50.1" customHeight="1">
      <c r="B64" s="350"/>
      <c r="C64" s="6" t="s">
        <v>104</v>
      </c>
      <c r="D64" s="56">
        <f>189.21+48.75+135+69.75</f>
        <v>442.71000000000004</v>
      </c>
      <c r="E64" s="56">
        <v>3</v>
      </c>
      <c r="F64" s="39">
        <v>7</v>
      </c>
      <c r="G64" s="40"/>
    </row>
    <row r="65" spans="2:7" ht="50.1" customHeight="1">
      <c r="B65" s="350"/>
      <c r="C65" s="6" t="s">
        <v>104</v>
      </c>
      <c r="D65" s="56">
        <v>208.49</v>
      </c>
      <c r="E65" s="56">
        <v>6</v>
      </c>
      <c r="F65" s="39">
        <v>1</v>
      </c>
      <c r="G65" s="40"/>
    </row>
    <row r="66" spans="2:7" ht="50.1" customHeight="1">
      <c r="B66" s="350"/>
      <c r="C66" s="6" t="s">
        <v>105</v>
      </c>
      <c r="D66" s="56">
        <f>669.67+263.5+92.44+725.69+140.25+175.31</f>
        <v>2066.86</v>
      </c>
      <c r="E66" s="56">
        <v>4.25</v>
      </c>
      <c r="F66" s="39">
        <v>11</v>
      </c>
      <c r="G66" s="40"/>
    </row>
    <row r="67" spans="2:7" ht="50.1" customHeight="1">
      <c r="B67" s="350"/>
      <c r="C67" s="6" t="s">
        <v>105</v>
      </c>
      <c r="D67" s="56">
        <v>0</v>
      </c>
      <c r="E67" s="56">
        <v>8.5</v>
      </c>
      <c r="F67" s="39">
        <v>0</v>
      </c>
      <c r="G67" s="17" t="s">
        <v>567</v>
      </c>
    </row>
    <row r="68" spans="2:7" ht="50.1" customHeight="1">
      <c r="B68" s="350"/>
      <c r="C68" s="6" t="s">
        <v>106</v>
      </c>
      <c r="D68" s="56">
        <v>63</v>
      </c>
      <c r="E68" s="56">
        <v>3</v>
      </c>
      <c r="F68" s="39">
        <v>1</v>
      </c>
      <c r="G68" s="41"/>
    </row>
    <row r="69" spans="2:7" ht="50.1" customHeight="1">
      <c r="B69" s="350"/>
      <c r="C69" s="6" t="s">
        <v>106</v>
      </c>
      <c r="D69" s="56">
        <v>208.49</v>
      </c>
      <c r="E69" s="56">
        <v>6</v>
      </c>
      <c r="F69" s="39">
        <v>1</v>
      </c>
      <c r="G69" s="41"/>
    </row>
    <row r="70" spans="2:7" ht="50.1" customHeight="1">
      <c r="B70" s="350"/>
      <c r="C70" s="6" t="s">
        <v>107</v>
      </c>
      <c r="D70" s="56">
        <v>0</v>
      </c>
      <c r="E70" s="56">
        <v>3</v>
      </c>
      <c r="F70" s="39">
        <v>0</v>
      </c>
      <c r="G70" s="17" t="s">
        <v>567</v>
      </c>
    </row>
    <row r="71" spans="2:7" ht="50.1" customHeight="1">
      <c r="B71" s="350"/>
      <c r="C71" s="6" t="s">
        <v>107</v>
      </c>
      <c r="D71" s="56">
        <v>0</v>
      </c>
      <c r="E71" s="56">
        <v>6</v>
      </c>
      <c r="F71" s="39">
        <v>0</v>
      </c>
      <c r="G71" s="17" t="s">
        <v>567</v>
      </c>
    </row>
    <row r="72" spans="2:7" ht="50.1" customHeight="1">
      <c r="B72" s="350"/>
      <c r="C72" s="6" t="s">
        <v>108</v>
      </c>
      <c r="D72" s="56">
        <f>1963.5+782+1659.63</f>
        <v>4405.13</v>
      </c>
      <c r="E72" s="56">
        <v>4.25</v>
      </c>
      <c r="F72" s="39">
        <v>7</v>
      </c>
      <c r="G72" s="40"/>
    </row>
    <row r="73" spans="2:7" ht="50.1" customHeight="1">
      <c r="B73" s="350"/>
      <c r="C73" s="6" t="s">
        <v>108</v>
      </c>
      <c r="D73" s="56">
        <v>0</v>
      </c>
      <c r="E73" s="56">
        <v>8.5</v>
      </c>
      <c r="F73" s="39">
        <v>0</v>
      </c>
      <c r="G73" s="17" t="s">
        <v>567</v>
      </c>
    </row>
    <row r="74" spans="2:7" ht="50.1" customHeight="1">
      <c r="B74" s="350"/>
      <c r="C74" s="6" t="s">
        <v>109</v>
      </c>
      <c r="D74" s="56">
        <f>734.19+107.84+456.88+61.63+742.69+167.34</f>
        <v>2270.5700000000006</v>
      </c>
      <c r="E74" s="56">
        <v>4.25</v>
      </c>
      <c r="F74" s="39">
        <v>10</v>
      </c>
      <c r="G74" s="40"/>
    </row>
    <row r="75" spans="2:7" ht="50.1" customHeight="1">
      <c r="B75" s="350"/>
      <c r="C75" s="6" t="s">
        <v>109</v>
      </c>
      <c r="D75" s="56">
        <v>0</v>
      </c>
      <c r="E75" s="56">
        <v>8.5</v>
      </c>
      <c r="F75" s="39">
        <v>0</v>
      </c>
      <c r="G75" s="17" t="s">
        <v>567</v>
      </c>
    </row>
    <row r="76" spans="2:7" ht="50.1" customHeight="1">
      <c r="B76" s="350"/>
      <c r="C76" s="6" t="s">
        <v>110</v>
      </c>
      <c r="D76" s="56">
        <f>439.88+78.63+680.53+80.75</f>
        <v>1279.79</v>
      </c>
      <c r="E76" s="56">
        <v>4.25</v>
      </c>
      <c r="F76" s="39">
        <v>7</v>
      </c>
      <c r="G76" s="40"/>
    </row>
    <row r="77" spans="2:7" ht="50.1" customHeight="1">
      <c r="B77" s="350"/>
      <c r="C77" s="6" t="s">
        <v>110</v>
      </c>
      <c r="D77" s="56">
        <v>0</v>
      </c>
      <c r="E77" s="56">
        <v>8.5</v>
      </c>
      <c r="F77" s="39">
        <v>0</v>
      </c>
      <c r="G77" s="17" t="s">
        <v>567</v>
      </c>
    </row>
    <row r="78" spans="2:7" ht="50.1" customHeight="1">
      <c r="B78" s="350"/>
      <c r="C78" s="6" t="s">
        <v>111</v>
      </c>
      <c r="D78" s="56">
        <f>1367.44+703.38+127.5</f>
        <v>2198.3200000000002</v>
      </c>
      <c r="E78" s="56">
        <v>4.25</v>
      </c>
      <c r="F78" s="39">
        <v>6</v>
      </c>
      <c r="G78" s="40"/>
    </row>
    <row r="79" spans="2:7" ht="50.1" customHeight="1">
      <c r="B79" s="350"/>
      <c r="C79" s="6" t="s">
        <v>111</v>
      </c>
      <c r="D79" s="56">
        <v>0</v>
      </c>
      <c r="E79" s="56">
        <v>8.5</v>
      </c>
      <c r="F79" s="39">
        <v>0</v>
      </c>
      <c r="G79" s="17" t="s">
        <v>567</v>
      </c>
    </row>
    <row r="80" spans="2:7" ht="50.1" customHeight="1">
      <c r="B80" s="350"/>
      <c r="C80" s="6" t="s">
        <v>112</v>
      </c>
      <c r="D80" s="56">
        <f>240+829.5+96+120</f>
        <v>1285.5</v>
      </c>
      <c r="E80" s="56">
        <v>3</v>
      </c>
      <c r="F80" s="39">
        <v>5</v>
      </c>
      <c r="G80" s="40"/>
    </row>
    <row r="81" spans="2:10" ht="50.1" customHeight="1">
      <c r="B81" s="350"/>
      <c r="C81" s="6" t="s">
        <v>112</v>
      </c>
      <c r="D81" s="56">
        <v>0</v>
      </c>
      <c r="E81" s="56">
        <v>6</v>
      </c>
      <c r="F81" s="39">
        <v>0</v>
      </c>
      <c r="G81" s="17" t="s">
        <v>567</v>
      </c>
    </row>
    <row r="82" spans="2:10" ht="50.1" customHeight="1">
      <c r="B82" s="350"/>
      <c r="C82" s="6" t="s">
        <v>113</v>
      </c>
      <c r="D82" s="56">
        <v>251.7</v>
      </c>
      <c r="E82" s="56">
        <v>3</v>
      </c>
      <c r="F82" s="39">
        <v>4</v>
      </c>
      <c r="G82" s="40"/>
    </row>
    <row r="83" spans="2:10" ht="50.1" customHeight="1">
      <c r="B83" s="350"/>
      <c r="C83" s="6" t="s">
        <v>113</v>
      </c>
      <c r="D83" s="56">
        <v>50.85</v>
      </c>
      <c r="E83" s="56">
        <v>6</v>
      </c>
      <c r="F83" s="39">
        <v>1</v>
      </c>
      <c r="G83" s="40"/>
    </row>
    <row r="84" spans="2:10" ht="50.1" customHeight="1">
      <c r="B84" s="350"/>
      <c r="C84" s="6" t="s">
        <v>114</v>
      </c>
      <c r="D84" s="56">
        <v>529.38</v>
      </c>
      <c r="E84" s="56">
        <v>3</v>
      </c>
      <c r="F84" s="39">
        <v>6</v>
      </c>
      <c r="G84" s="40"/>
    </row>
    <row r="85" spans="2:10" ht="50.1" customHeight="1">
      <c r="B85" s="350"/>
      <c r="C85" s="6" t="s">
        <v>114</v>
      </c>
      <c r="D85" s="56">
        <v>0</v>
      </c>
      <c r="E85" s="56">
        <v>6</v>
      </c>
      <c r="F85" s="39">
        <v>0</v>
      </c>
      <c r="G85" s="17" t="s">
        <v>567</v>
      </c>
    </row>
    <row r="86" spans="2:10" ht="50.1" customHeight="1">
      <c r="B86" s="350"/>
      <c r="C86" s="6" t="s">
        <v>115</v>
      </c>
      <c r="D86" s="56">
        <v>61.63</v>
      </c>
      <c r="E86" s="56">
        <v>4.25</v>
      </c>
      <c r="F86" s="39">
        <v>1</v>
      </c>
      <c r="G86" s="40"/>
    </row>
    <row r="87" spans="2:10" ht="50.1" customHeight="1">
      <c r="B87" s="350"/>
      <c r="C87" s="6" t="s">
        <v>115</v>
      </c>
      <c r="D87" s="56">
        <v>0</v>
      </c>
      <c r="E87" s="56">
        <v>8.5</v>
      </c>
      <c r="F87" s="39">
        <v>0</v>
      </c>
      <c r="G87" s="17" t="s">
        <v>567</v>
      </c>
    </row>
    <row r="88" spans="2:10" ht="50.1" customHeight="1">
      <c r="B88" s="350"/>
      <c r="C88" s="6" t="s">
        <v>116</v>
      </c>
      <c r="D88" s="56">
        <v>114</v>
      </c>
      <c r="E88" s="56">
        <v>4.75</v>
      </c>
      <c r="F88" s="39">
        <v>1</v>
      </c>
      <c r="G88" s="40"/>
    </row>
    <row r="89" spans="2:10" ht="50.1" customHeight="1">
      <c r="B89" s="350"/>
      <c r="C89" s="6" t="s">
        <v>116</v>
      </c>
      <c r="D89" s="56">
        <v>0</v>
      </c>
      <c r="E89" s="56">
        <v>9.5</v>
      </c>
      <c r="F89" s="39">
        <v>0</v>
      </c>
      <c r="G89" s="17" t="s">
        <v>567</v>
      </c>
    </row>
    <row r="90" spans="2:10" ht="24.9" customHeight="1">
      <c r="B90" s="42" t="s">
        <v>52</v>
      </c>
      <c r="C90" s="6"/>
      <c r="D90" s="65">
        <f>SUM(D8:D89)</f>
        <v>49578.139999999985</v>
      </c>
      <c r="E90" s="65">
        <f>SUM(E8:E89)</f>
        <v>444.75</v>
      </c>
      <c r="F90" s="64">
        <f>SUM(F8:F89)</f>
        <v>193</v>
      </c>
      <c r="G90" s="44"/>
    </row>
    <row r="91" spans="2:10" ht="36.9" customHeight="1">
      <c r="B91" s="349" t="s">
        <v>53</v>
      </c>
      <c r="C91" s="6" t="s">
        <v>117</v>
      </c>
      <c r="D91" s="56">
        <v>10932.33</v>
      </c>
      <c r="E91" s="56">
        <v>4.75</v>
      </c>
      <c r="F91" s="39">
        <v>22</v>
      </c>
      <c r="G91" s="44"/>
    </row>
    <row r="92" spans="2:10" ht="36.9" customHeight="1">
      <c r="B92" s="350"/>
      <c r="C92" s="6" t="s">
        <v>117</v>
      </c>
      <c r="D92" s="56">
        <v>0</v>
      </c>
      <c r="E92" s="56">
        <v>9.5</v>
      </c>
      <c r="F92" s="39">
        <v>0</v>
      </c>
      <c r="G92" s="17" t="s">
        <v>567</v>
      </c>
    </row>
    <row r="93" spans="2:10" ht="36.9" customHeight="1">
      <c r="B93" s="350"/>
      <c r="C93" s="6" t="s">
        <v>118</v>
      </c>
      <c r="D93" s="56">
        <v>0</v>
      </c>
      <c r="E93" s="56">
        <v>0</v>
      </c>
      <c r="F93" s="39">
        <v>6</v>
      </c>
      <c r="G93" s="45" t="s">
        <v>119</v>
      </c>
    </row>
    <row r="94" spans="2:10" ht="36.9" customHeight="1">
      <c r="B94" s="350"/>
      <c r="C94" s="6" t="s">
        <v>118</v>
      </c>
      <c r="D94" s="56">
        <v>74</v>
      </c>
      <c r="E94" s="56">
        <v>37</v>
      </c>
      <c r="F94" s="39">
        <v>2</v>
      </c>
      <c r="G94" s="44"/>
    </row>
    <row r="95" spans="2:10" ht="36.9" customHeight="1">
      <c r="B95" s="351"/>
      <c r="C95" s="6" t="s">
        <v>120</v>
      </c>
      <c r="D95" s="56">
        <v>0</v>
      </c>
      <c r="E95" s="56">
        <v>0</v>
      </c>
      <c r="F95" s="39">
        <v>1</v>
      </c>
      <c r="G95" s="45" t="s">
        <v>119</v>
      </c>
      <c r="H95" s="46"/>
      <c r="I95" s="46"/>
      <c r="J95" s="46"/>
    </row>
    <row r="96" spans="2:10" ht="36.9" customHeight="1">
      <c r="B96" s="47"/>
      <c r="C96" s="6" t="s">
        <v>120</v>
      </c>
      <c r="D96" s="56">
        <v>868</v>
      </c>
      <c r="E96" s="56">
        <v>124</v>
      </c>
      <c r="F96" s="39">
        <v>7</v>
      </c>
      <c r="G96" s="44"/>
      <c r="H96" s="46"/>
      <c r="I96" s="46"/>
      <c r="J96" s="46"/>
    </row>
    <row r="97" spans="1:10" ht="24.9" customHeight="1">
      <c r="B97" s="48" t="s">
        <v>52</v>
      </c>
      <c r="C97" s="6"/>
      <c r="D97" s="65">
        <f>SUM(D91:D96)</f>
        <v>11874.33</v>
      </c>
      <c r="E97" s="65">
        <f>SUM(E91:E96)</f>
        <v>175.25</v>
      </c>
      <c r="F97" s="64">
        <f>SUM(F91:F96)</f>
        <v>38</v>
      </c>
      <c r="G97" s="44"/>
      <c r="H97" s="46"/>
      <c r="I97" s="46"/>
      <c r="J97" s="46"/>
    </row>
    <row r="98" spans="1:10" ht="31.5" customHeight="1">
      <c r="B98" s="352" t="s">
        <v>56</v>
      </c>
      <c r="C98" s="352"/>
      <c r="D98" s="352"/>
      <c r="E98" s="352"/>
      <c r="F98" s="352"/>
      <c r="G98" s="353"/>
    </row>
    <row r="99" spans="1:10" ht="69.75" customHeight="1">
      <c r="A99" s="13"/>
      <c r="B99" s="36" t="s">
        <v>5</v>
      </c>
      <c r="C99" s="37" t="s">
        <v>6</v>
      </c>
      <c r="D99" s="37" t="s">
        <v>7</v>
      </c>
      <c r="E99" s="37" t="s">
        <v>58</v>
      </c>
      <c r="F99" s="37" t="s">
        <v>9</v>
      </c>
      <c r="G99" s="37" t="s">
        <v>10</v>
      </c>
    </row>
    <row r="100" spans="1:10" ht="36.9" customHeight="1">
      <c r="B100" s="73" t="s">
        <v>60</v>
      </c>
      <c r="C100" s="49"/>
      <c r="D100" s="56">
        <v>0</v>
      </c>
      <c r="E100" s="56">
        <v>0</v>
      </c>
      <c r="F100" s="39">
        <v>0</v>
      </c>
      <c r="G100" s="10"/>
    </row>
    <row r="101" spans="1:10" ht="24.9" customHeight="1">
      <c r="B101" s="48" t="s">
        <v>52</v>
      </c>
      <c r="C101" s="43"/>
      <c r="D101" s="58">
        <f>SUM(D100)</f>
        <v>0</v>
      </c>
      <c r="E101" s="58">
        <f>SUM(E100)</f>
        <v>0</v>
      </c>
      <c r="F101" s="20">
        <f>SUM(F100)</f>
        <v>0</v>
      </c>
      <c r="G101" s="10"/>
    </row>
    <row r="102" spans="1:10" ht="36.9" customHeight="1">
      <c r="B102" s="73" t="s">
        <v>61</v>
      </c>
      <c r="C102" s="38" t="s">
        <v>121</v>
      </c>
      <c r="D102" s="56">
        <v>6118.22</v>
      </c>
      <c r="E102" s="56">
        <v>5647.61</v>
      </c>
      <c r="F102" s="39">
        <v>106</v>
      </c>
      <c r="G102" s="253" t="s">
        <v>570</v>
      </c>
    </row>
    <row r="103" spans="1:10" ht="24.9" customHeight="1">
      <c r="B103" s="48" t="s">
        <v>52</v>
      </c>
      <c r="C103" s="43"/>
      <c r="D103" s="58">
        <f>SUM(D102)</f>
        <v>6118.22</v>
      </c>
      <c r="E103" s="58">
        <f>SUM(E102)</f>
        <v>5647.61</v>
      </c>
      <c r="F103" s="20">
        <f>SUM(F102)</f>
        <v>106</v>
      </c>
      <c r="G103" s="10"/>
    </row>
    <row r="104" spans="1:10" ht="36.9" customHeight="1">
      <c r="B104" s="73" t="s">
        <v>63</v>
      </c>
      <c r="C104" s="6" t="s">
        <v>122</v>
      </c>
      <c r="D104" s="56">
        <v>3111.12</v>
      </c>
      <c r="E104" s="56">
        <v>1482.9</v>
      </c>
      <c r="F104" s="39">
        <v>1</v>
      </c>
      <c r="G104" s="255" t="s">
        <v>571</v>
      </c>
    </row>
    <row r="105" spans="1:10" ht="24.9" customHeight="1">
      <c r="B105" s="48" t="s">
        <v>52</v>
      </c>
      <c r="C105" s="43"/>
      <c r="D105" s="58">
        <f>SUM(D104)</f>
        <v>3111.12</v>
      </c>
      <c r="E105" s="58">
        <f>SUM(E104)</f>
        <v>1482.9</v>
      </c>
      <c r="F105" s="20">
        <f>SUM(F104)</f>
        <v>1</v>
      </c>
      <c r="G105" s="10"/>
    </row>
    <row r="106" spans="1:10" ht="36.9" customHeight="1">
      <c r="B106" s="73" t="s">
        <v>64</v>
      </c>
      <c r="C106" s="50" t="s">
        <v>123</v>
      </c>
      <c r="D106" s="56">
        <v>11139.68</v>
      </c>
      <c r="E106" s="56">
        <v>11393.92</v>
      </c>
      <c r="F106" s="39">
        <v>1</v>
      </c>
      <c r="G106" s="6"/>
    </row>
    <row r="107" spans="1:10" ht="24.9" customHeight="1">
      <c r="B107" s="48" t="s">
        <v>52</v>
      </c>
      <c r="C107" s="43"/>
      <c r="D107" s="58">
        <f>SUM(D106)</f>
        <v>11139.68</v>
      </c>
      <c r="E107" s="58">
        <f>SUM(E106)</f>
        <v>11393.92</v>
      </c>
      <c r="F107" s="20">
        <f>SUM(F106)</f>
        <v>1</v>
      </c>
      <c r="G107" s="10"/>
    </row>
    <row r="108" spans="1:10" ht="36.9" customHeight="1">
      <c r="B108" s="73" t="s">
        <v>124</v>
      </c>
      <c r="C108" s="51"/>
      <c r="D108" s="56">
        <v>0</v>
      </c>
      <c r="E108" s="56">
        <v>0</v>
      </c>
      <c r="F108" s="39">
        <v>0</v>
      </c>
      <c r="G108" s="10"/>
    </row>
    <row r="109" spans="1:10" ht="24.9" customHeight="1">
      <c r="B109" s="48" t="s">
        <v>52</v>
      </c>
      <c r="C109" s="43"/>
      <c r="D109" s="58">
        <f>SUM(D108)</f>
        <v>0</v>
      </c>
      <c r="E109" s="58">
        <f>SUM(E108)</f>
        <v>0</v>
      </c>
      <c r="F109" s="20">
        <f>SUM(F108)</f>
        <v>0</v>
      </c>
      <c r="G109" s="10"/>
    </row>
    <row r="110" spans="1:10" ht="17.25" customHeight="1">
      <c r="B110" s="341"/>
      <c r="C110" s="341"/>
      <c r="D110" s="341"/>
      <c r="E110" s="341"/>
      <c r="F110" s="341"/>
      <c r="G110" s="341"/>
    </row>
    <row r="111" spans="1:10" ht="33" customHeight="1">
      <c r="B111" s="52" t="s">
        <v>125</v>
      </c>
      <c r="C111" s="53"/>
      <c r="D111" s="66">
        <f>SUM(D90+D97+D101+D103+D105+D107+D109)</f>
        <v>81821.489999999991</v>
      </c>
      <c r="E111" s="66">
        <f>SUM(E90+E97+E101+E103+E105+E107+E109)</f>
        <v>19144.43</v>
      </c>
      <c r="F111" s="286">
        <f>SUM(F90+F97+F101+F103+F105+F107+F109)</f>
        <v>339</v>
      </c>
      <c r="G111" s="10"/>
    </row>
    <row r="112" spans="1:10">
      <c r="B112" s="28"/>
      <c r="C112" s="29"/>
      <c r="D112" s="29"/>
      <c r="E112" s="29"/>
      <c r="F112" s="29"/>
    </row>
    <row r="113" spans="1:6">
      <c r="B113" s="28"/>
      <c r="C113" s="29"/>
      <c r="D113" s="29"/>
      <c r="E113" s="29"/>
      <c r="F113" s="29"/>
    </row>
    <row r="114" spans="1:6">
      <c r="B114" s="54" t="s">
        <v>126</v>
      </c>
    </row>
    <row r="115" spans="1:6">
      <c r="B115" s="54"/>
    </row>
    <row r="116" spans="1:6">
      <c r="A116" s="31"/>
      <c r="B116" s="31" t="s">
        <v>127</v>
      </c>
      <c r="C116" s="31"/>
    </row>
    <row r="117" spans="1:6">
      <c r="B117" s="31" t="s">
        <v>130</v>
      </c>
    </row>
    <row r="118" spans="1:6">
      <c r="B118" s="31" t="s">
        <v>131</v>
      </c>
    </row>
    <row r="119" spans="1:6">
      <c r="B119" s="32"/>
    </row>
    <row r="120" spans="1:6">
      <c r="B120" t="s">
        <v>129</v>
      </c>
      <c r="C120"/>
    </row>
    <row r="121" spans="1:6">
      <c r="B121" s="307"/>
      <c r="C121" s="307"/>
      <c r="D121" s="307"/>
    </row>
    <row r="123" spans="1:6" ht="15.75" customHeight="1"/>
  </sheetData>
  <mergeCells count="8">
    <mergeCell ref="B110:G110"/>
    <mergeCell ref="B121:D121"/>
    <mergeCell ref="B4:G4"/>
    <mergeCell ref="B5:G5"/>
    <mergeCell ref="B6:G6"/>
    <mergeCell ref="B8:B89"/>
    <mergeCell ref="B91:B95"/>
    <mergeCell ref="B98:G9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47EC60-CD54-47BC-92D6-748495E0A03D}">
  <dimension ref="A1:J100"/>
  <sheetViews>
    <sheetView topLeftCell="A74" workbookViewId="0">
      <selection activeCell="F88" sqref="F88"/>
    </sheetView>
  </sheetViews>
  <sheetFormatPr defaultColWidth="9.109375" defaultRowHeight="14.4"/>
  <cols>
    <col min="1" max="1" width="3.44140625" customWidth="1"/>
    <col min="2" max="2" width="45.109375" customWidth="1"/>
    <col min="3" max="3" width="31.109375" customWidth="1"/>
    <col min="4" max="4" width="16.6640625" customWidth="1"/>
    <col min="5" max="5" width="19" customWidth="1"/>
    <col min="6" max="6" width="15.33203125" customWidth="1"/>
    <col min="7" max="7" width="34.44140625" customWidth="1"/>
  </cols>
  <sheetData>
    <row r="1" spans="2:7" ht="30" customHeight="1">
      <c r="B1" s="33" t="s">
        <v>0</v>
      </c>
    </row>
    <row r="2" spans="2:7" ht="25.5" customHeight="1">
      <c r="B2" s="33" t="s">
        <v>1</v>
      </c>
      <c r="D2" s="35"/>
      <c r="E2" s="35"/>
    </row>
    <row r="3" spans="2:7" ht="12.75" customHeight="1">
      <c r="B3" s="33"/>
      <c r="D3" s="35"/>
      <c r="E3" s="35"/>
    </row>
    <row r="4" spans="2:7" ht="32.25" customHeight="1">
      <c r="B4" s="347" t="s">
        <v>132</v>
      </c>
      <c r="C4" s="347"/>
      <c r="D4" s="347"/>
      <c r="E4" s="347"/>
      <c r="F4" s="347"/>
      <c r="G4" s="347"/>
    </row>
    <row r="5" spans="2:7" ht="31.5" customHeight="1">
      <c r="B5" s="347" t="s">
        <v>499</v>
      </c>
      <c r="C5" s="347"/>
      <c r="D5" s="347"/>
      <c r="E5" s="347"/>
      <c r="F5" s="347"/>
      <c r="G5" s="347"/>
    </row>
    <row r="6" spans="2:7" ht="26.25" customHeight="1">
      <c r="B6" s="348" t="s">
        <v>4</v>
      </c>
      <c r="C6" s="348"/>
      <c r="D6" s="348"/>
      <c r="E6" s="348"/>
      <c r="F6" s="348"/>
      <c r="G6" s="348"/>
    </row>
    <row r="7" spans="2:7" ht="55.5" customHeight="1">
      <c r="B7" s="133" t="s">
        <v>5</v>
      </c>
      <c r="C7" s="244" t="s">
        <v>6</v>
      </c>
      <c r="D7" s="244" t="s">
        <v>7</v>
      </c>
      <c r="E7" s="244" t="s">
        <v>8</v>
      </c>
      <c r="F7" s="244" t="s">
        <v>9</v>
      </c>
      <c r="G7" s="245" t="s">
        <v>10</v>
      </c>
    </row>
    <row r="8" spans="2:7" ht="28.95" customHeight="1">
      <c r="B8" s="349" t="s">
        <v>301</v>
      </c>
      <c r="C8" s="246" t="s">
        <v>500</v>
      </c>
      <c r="D8" s="56">
        <v>875.3</v>
      </c>
      <c r="E8" s="186">
        <v>4.7699999999999996</v>
      </c>
      <c r="F8" s="39">
        <v>5</v>
      </c>
      <c r="G8" s="40"/>
    </row>
    <row r="9" spans="2:7" ht="28.95" customHeight="1">
      <c r="B9" s="350"/>
      <c r="C9" s="246" t="s">
        <v>501</v>
      </c>
      <c r="D9" s="56">
        <v>1359.32</v>
      </c>
      <c r="E9" s="186">
        <v>2.7</v>
      </c>
      <c r="F9" s="39">
        <v>3</v>
      </c>
      <c r="G9" s="44"/>
    </row>
    <row r="10" spans="2:7" ht="28.95" customHeight="1">
      <c r="B10" s="350"/>
      <c r="C10" s="246" t="s">
        <v>502</v>
      </c>
      <c r="D10" s="56">
        <v>1560.73</v>
      </c>
      <c r="E10" s="186">
        <v>2.7</v>
      </c>
      <c r="F10" s="39">
        <v>2</v>
      </c>
      <c r="G10" s="44"/>
    </row>
    <row r="11" spans="2:7" ht="29.1" customHeight="1">
      <c r="B11" s="350"/>
      <c r="C11" s="246" t="s">
        <v>503</v>
      </c>
      <c r="D11" s="56">
        <v>162.81</v>
      </c>
      <c r="E11" s="186">
        <v>2.7</v>
      </c>
      <c r="F11" s="39">
        <v>2</v>
      </c>
      <c r="G11" s="44"/>
    </row>
    <row r="12" spans="2:7" ht="29.1" customHeight="1">
      <c r="B12" s="350"/>
      <c r="C12" s="246" t="s">
        <v>504</v>
      </c>
      <c r="D12" s="56">
        <v>786.33</v>
      </c>
      <c r="E12" s="186">
        <v>4.7699999999999996</v>
      </c>
      <c r="F12" s="39">
        <v>2</v>
      </c>
      <c r="G12" s="44"/>
    </row>
    <row r="13" spans="2:7" ht="29.1" customHeight="1">
      <c r="B13" s="350"/>
      <c r="C13" s="246" t="s">
        <v>505</v>
      </c>
      <c r="D13" s="56">
        <v>422.01</v>
      </c>
      <c r="E13" s="186">
        <v>2.7</v>
      </c>
      <c r="F13" s="39">
        <v>2</v>
      </c>
      <c r="G13" s="44"/>
    </row>
    <row r="14" spans="2:7" ht="29.1" customHeight="1">
      <c r="B14" s="350"/>
      <c r="C14" s="246" t="s">
        <v>506</v>
      </c>
      <c r="D14" s="56">
        <v>626.05999999999995</v>
      </c>
      <c r="E14" s="186">
        <v>4.7699999999999996</v>
      </c>
      <c r="F14" s="39">
        <v>2</v>
      </c>
      <c r="G14" s="44"/>
    </row>
    <row r="15" spans="2:7" ht="29.1" customHeight="1">
      <c r="B15" s="350"/>
      <c r="C15" s="246" t="s">
        <v>507</v>
      </c>
      <c r="D15" s="56">
        <v>407.03</v>
      </c>
      <c r="E15" s="186">
        <v>2.7</v>
      </c>
      <c r="F15" s="39">
        <v>7</v>
      </c>
      <c r="G15" s="44"/>
    </row>
    <row r="16" spans="2:7" ht="29.1" customHeight="1">
      <c r="B16" s="350"/>
      <c r="C16" s="246" t="s">
        <v>508</v>
      </c>
      <c r="D16" s="56">
        <v>451.58</v>
      </c>
      <c r="E16" s="186">
        <v>2.7</v>
      </c>
      <c r="F16" s="39">
        <v>6</v>
      </c>
      <c r="G16" s="44"/>
    </row>
    <row r="17" spans="2:7" ht="29.1" customHeight="1">
      <c r="B17" s="350"/>
      <c r="C17" s="246" t="s">
        <v>509</v>
      </c>
      <c r="D17" s="56">
        <v>8314.33</v>
      </c>
      <c r="E17" s="186">
        <v>6.81</v>
      </c>
      <c r="F17" s="39">
        <v>6</v>
      </c>
      <c r="G17" s="44"/>
    </row>
    <row r="18" spans="2:7" ht="29.1" customHeight="1">
      <c r="B18" s="350"/>
      <c r="C18" s="246" t="s">
        <v>510</v>
      </c>
      <c r="D18" s="56">
        <v>988.59</v>
      </c>
      <c r="E18" s="186">
        <v>4.7699999999999996</v>
      </c>
      <c r="F18" s="39">
        <v>5</v>
      </c>
      <c r="G18" s="44"/>
    </row>
    <row r="19" spans="2:7" ht="29.1" customHeight="1">
      <c r="B19" s="350"/>
      <c r="C19" s="246" t="s">
        <v>511</v>
      </c>
      <c r="D19" s="56">
        <v>370.78</v>
      </c>
      <c r="E19" s="186">
        <v>2.7</v>
      </c>
      <c r="F19" s="39">
        <v>3</v>
      </c>
      <c r="G19" s="44"/>
    </row>
    <row r="20" spans="2:7" ht="29.1" customHeight="1">
      <c r="B20" s="350"/>
      <c r="C20" s="246" t="s">
        <v>512</v>
      </c>
      <c r="D20" s="56">
        <v>1768.5</v>
      </c>
      <c r="E20" s="186">
        <v>9</v>
      </c>
      <c r="F20" s="39">
        <v>5</v>
      </c>
      <c r="G20" s="44"/>
    </row>
    <row r="21" spans="2:7" ht="29.1" customHeight="1">
      <c r="B21" s="350"/>
      <c r="C21" s="246" t="s">
        <v>512</v>
      </c>
      <c r="D21" s="56">
        <v>159.1</v>
      </c>
      <c r="E21" s="186">
        <v>2.7</v>
      </c>
      <c r="F21" s="39">
        <v>1</v>
      </c>
      <c r="G21" s="44"/>
    </row>
    <row r="22" spans="2:7" ht="29.1" customHeight="1">
      <c r="B22" s="350"/>
      <c r="C22" s="246" t="s">
        <v>513</v>
      </c>
      <c r="D22" s="56">
        <v>136.49</v>
      </c>
      <c r="E22" s="186">
        <v>2.7</v>
      </c>
      <c r="F22" s="39">
        <v>3</v>
      </c>
      <c r="G22" s="44"/>
    </row>
    <row r="23" spans="2:7" ht="29.1" customHeight="1">
      <c r="B23" s="350"/>
      <c r="C23" s="246" t="s">
        <v>514</v>
      </c>
      <c r="D23" s="56">
        <v>876.02</v>
      </c>
      <c r="E23" s="186">
        <v>4.7699999999999996</v>
      </c>
      <c r="F23" s="39">
        <v>6</v>
      </c>
      <c r="G23" s="44"/>
    </row>
    <row r="24" spans="2:7" ht="29.1" customHeight="1">
      <c r="B24" s="350"/>
      <c r="C24" s="246" t="s">
        <v>515</v>
      </c>
      <c r="D24" s="56">
        <v>164.7</v>
      </c>
      <c r="E24" s="186">
        <v>2.7</v>
      </c>
      <c r="F24" s="39">
        <v>3</v>
      </c>
      <c r="G24" s="44"/>
    </row>
    <row r="25" spans="2:7" ht="29.1" customHeight="1">
      <c r="B25" s="350"/>
      <c r="C25" s="246" t="s">
        <v>516</v>
      </c>
      <c r="D25" s="56">
        <v>68.66</v>
      </c>
      <c r="E25" s="186">
        <v>4.7699999999999996</v>
      </c>
      <c r="F25" s="39">
        <v>2</v>
      </c>
      <c r="G25" s="44"/>
    </row>
    <row r="26" spans="2:7" ht="29.1" customHeight="1">
      <c r="B26" s="350"/>
      <c r="C26" s="246" t="s">
        <v>517</v>
      </c>
      <c r="D26" s="56">
        <v>299.8</v>
      </c>
      <c r="E26" s="186">
        <v>2.7</v>
      </c>
      <c r="F26" s="39">
        <v>4</v>
      </c>
      <c r="G26" s="44"/>
    </row>
    <row r="27" spans="2:7" ht="29.1" customHeight="1">
      <c r="B27" s="350"/>
      <c r="C27" s="246" t="s">
        <v>518</v>
      </c>
      <c r="D27" s="56">
        <v>41.58</v>
      </c>
      <c r="E27" s="186">
        <v>2.7</v>
      </c>
      <c r="F27" s="39">
        <v>1</v>
      </c>
      <c r="G27" s="44"/>
    </row>
    <row r="28" spans="2:7" ht="29.1" customHeight="1">
      <c r="B28" s="350"/>
      <c r="C28" s="246" t="s">
        <v>519</v>
      </c>
      <c r="D28" s="56">
        <v>141.75</v>
      </c>
      <c r="E28" s="186">
        <v>2.7</v>
      </c>
      <c r="F28" s="39">
        <v>1</v>
      </c>
      <c r="G28" s="44"/>
    </row>
    <row r="29" spans="2:7" ht="29.1" customHeight="1">
      <c r="B29" s="350"/>
      <c r="C29" s="246" t="s">
        <v>520</v>
      </c>
      <c r="D29" s="56">
        <v>4854.8999999999996</v>
      </c>
      <c r="E29" s="186">
        <v>4.7699999999999996</v>
      </c>
      <c r="F29" s="39">
        <v>2</v>
      </c>
      <c r="G29" s="44"/>
    </row>
    <row r="30" spans="2:7" ht="29.1" customHeight="1">
      <c r="B30" s="350"/>
      <c r="C30" s="246" t="s">
        <v>521</v>
      </c>
      <c r="D30" s="56">
        <v>414.28</v>
      </c>
      <c r="E30" s="186">
        <v>4.7699999999999996</v>
      </c>
      <c r="F30" s="39">
        <v>4</v>
      </c>
      <c r="G30" s="44"/>
    </row>
    <row r="31" spans="2:7" ht="29.1" customHeight="1">
      <c r="B31" s="350"/>
      <c r="C31" s="246" t="s">
        <v>522</v>
      </c>
      <c r="D31" s="56">
        <v>215.37</v>
      </c>
      <c r="E31" s="186">
        <v>4.7699999999999996</v>
      </c>
      <c r="F31" s="39">
        <v>2</v>
      </c>
      <c r="G31" s="44"/>
    </row>
    <row r="32" spans="2:7" ht="29.1" customHeight="1">
      <c r="B32" s="350"/>
      <c r="C32" s="246" t="s">
        <v>523</v>
      </c>
      <c r="D32" s="56">
        <v>915.84</v>
      </c>
      <c r="E32" s="186">
        <v>4.7699999999999996</v>
      </c>
      <c r="F32" s="39">
        <v>2</v>
      </c>
      <c r="G32" s="44"/>
    </row>
    <row r="33" spans="2:7" ht="29.1" customHeight="1">
      <c r="B33" s="350"/>
      <c r="C33" s="246" t="s">
        <v>524</v>
      </c>
      <c r="D33" s="56">
        <v>677.35</v>
      </c>
      <c r="E33" s="186">
        <v>4.7699999999999996</v>
      </c>
      <c r="F33" s="39">
        <v>7</v>
      </c>
      <c r="G33" s="44"/>
    </row>
    <row r="34" spans="2:7" ht="29.1" customHeight="1">
      <c r="B34" s="350"/>
      <c r="C34" s="246" t="s">
        <v>525</v>
      </c>
      <c r="D34" s="56">
        <v>917.38</v>
      </c>
      <c r="E34" s="186">
        <v>4.7699999999999996</v>
      </c>
      <c r="F34" s="39">
        <v>8</v>
      </c>
      <c r="G34" s="44"/>
    </row>
    <row r="35" spans="2:7" ht="29.1" customHeight="1">
      <c r="B35" s="350"/>
      <c r="C35" s="246" t="s">
        <v>526</v>
      </c>
      <c r="D35" s="56">
        <v>315.36</v>
      </c>
      <c r="E35" s="186">
        <v>2.7</v>
      </c>
      <c r="F35" s="39">
        <v>5</v>
      </c>
      <c r="G35" s="44"/>
    </row>
    <row r="36" spans="2:7" ht="29.1" customHeight="1">
      <c r="B36" s="350"/>
      <c r="C36" s="246" t="s">
        <v>527</v>
      </c>
      <c r="D36" s="56">
        <v>223.16</v>
      </c>
      <c r="E36" s="186">
        <v>2.7</v>
      </c>
      <c r="F36" s="39">
        <v>5</v>
      </c>
      <c r="G36" s="44"/>
    </row>
    <row r="37" spans="2:7" ht="29.1" customHeight="1">
      <c r="B37" s="350"/>
      <c r="C37" s="246" t="s">
        <v>528</v>
      </c>
      <c r="D37" s="56">
        <v>298.60000000000002</v>
      </c>
      <c r="E37" s="186">
        <v>4.7699999999999996</v>
      </c>
      <c r="F37" s="39">
        <v>2</v>
      </c>
      <c r="G37" s="44"/>
    </row>
    <row r="38" spans="2:7" ht="29.1" customHeight="1">
      <c r="B38" s="350"/>
      <c r="C38" s="246" t="s">
        <v>529</v>
      </c>
      <c r="D38" s="56">
        <v>512.33000000000004</v>
      </c>
      <c r="E38" s="186">
        <v>2.7</v>
      </c>
      <c r="F38" s="39">
        <v>4</v>
      </c>
      <c r="G38" s="44"/>
    </row>
    <row r="39" spans="2:7" ht="29.1" customHeight="1">
      <c r="B39" s="350"/>
      <c r="C39" s="246" t="s">
        <v>530</v>
      </c>
      <c r="D39" s="56">
        <v>598.59</v>
      </c>
      <c r="E39" s="186">
        <v>2.7</v>
      </c>
      <c r="F39" s="39">
        <v>7</v>
      </c>
      <c r="G39" s="44"/>
    </row>
    <row r="40" spans="2:7" ht="29.1" customHeight="1">
      <c r="B40" s="350"/>
      <c r="C40" s="246" t="s">
        <v>531</v>
      </c>
      <c r="D40" s="56">
        <v>561.47</v>
      </c>
      <c r="E40" s="186">
        <v>2.7</v>
      </c>
      <c r="F40" s="39">
        <v>4</v>
      </c>
      <c r="G40" s="44"/>
    </row>
    <row r="41" spans="2:7" ht="29.1" customHeight="1">
      <c r="B41" s="350"/>
      <c r="C41" s="246" t="s">
        <v>532</v>
      </c>
      <c r="D41" s="56">
        <v>50.22</v>
      </c>
      <c r="E41" s="186">
        <v>2.7</v>
      </c>
      <c r="F41" s="39">
        <v>1</v>
      </c>
      <c r="G41" s="44"/>
    </row>
    <row r="42" spans="2:7" ht="29.1" customHeight="1">
      <c r="B42" s="350"/>
      <c r="C42" s="246" t="s">
        <v>532</v>
      </c>
      <c r="D42" s="56">
        <v>0</v>
      </c>
      <c r="E42" s="186">
        <v>9</v>
      </c>
      <c r="F42" s="39">
        <v>1</v>
      </c>
      <c r="G42" s="44"/>
    </row>
    <row r="43" spans="2:7" ht="29.1" customHeight="1">
      <c r="B43" s="350"/>
      <c r="C43" s="246" t="s">
        <v>533</v>
      </c>
      <c r="D43" s="56">
        <v>1080</v>
      </c>
      <c r="E43" s="186">
        <v>9</v>
      </c>
      <c r="F43" s="39">
        <v>4</v>
      </c>
      <c r="G43" s="44"/>
    </row>
    <row r="44" spans="2:7" ht="29.1" customHeight="1">
      <c r="B44" s="350"/>
      <c r="C44" s="246" t="s">
        <v>533</v>
      </c>
      <c r="D44" s="56">
        <v>2053.08</v>
      </c>
      <c r="E44" s="186">
        <v>2.7</v>
      </c>
      <c r="F44" s="39">
        <v>8</v>
      </c>
      <c r="G44" s="44"/>
    </row>
    <row r="45" spans="2:7" ht="29.1" customHeight="1">
      <c r="B45" s="350"/>
      <c r="C45" s="246" t="s">
        <v>534</v>
      </c>
      <c r="D45" s="56">
        <v>583.20000000000005</v>
      </c>
      <c r="E45" s="186">
        <v>2.7</v>
      </c>
      <c r="F45" s="39">
        <v>2</v>
      </c>
      <c r="G45" s="44"/>
    </row>
    <row r="46" spans="2:7" ht="29.1" customHeight="1">
      <c r="B46" s="350"/>
      <c r="C46" s="246" t="s">
        <v>535</v>
      </c>
      <c r="D46" s="56">
        <v>5821.2</v>
      </c>
      <c r="E46" s="186">
        <v>6.3</v>
      </c>
      <c r="F46" s="39">
        <v>6</v>
      </c>
      <c r="G46" s="44"/>
    </row>
    <row r="47" spans="2:7" ht="29.1" customHeight="1">
      <c r="B47" s="350"/>
      <c r="C47" s="246" t="s">
        <v>536</v>
      </c>
      <c r="D47" s="56">
        <v>160.27000000000001</v>
      </c>
      <c r="E47" s="186">
        <v>4.7699999999999996</v>
      </c>
      <c r="F47" s="39">
        <v>1</v>
      </c>
      <c r="G47" s="44"/>
    </row>
    <row r="48" spans="2:7" ht="29.1" customHeight="1">
      <c r="B48" s="350"/>
      <c r="C48" s="246" t="s">
        <v>537</v>
      </c>
      <c r="D48" s="56">
        <v>0</v>
      </c>
      <c r="E48" s="186">
        <v>2.7</v>
      </c>
      <c r="F48" s="39">
        <v>1</v>
      </c>
      <c r="G48" s="44"/>
    </row>
    <row r="49" spans="2:7" ht="29.1" customHeight="1">
      <c r="B49" s="350"/>
      <c r="C49" s="246" t="s">
        <v>538</v>
      </c>
      <c r="D49" s="56">
        <v>877.68</v>
      </c>
      <c r="E49" s="186">
        <v>4.7699999999999996</v>
      </c>
      <c r="F49" s="39">
        <v>2</v>
      </c>
      <c r="G49" s="44"/>
    </row>
    <row r="50" spans="2:7" ht="29.1" customHeight="1">
      <c r="B50" s="350"/>
      <c r="C50" s="246" t="s">
        <v>539</v>
      </c>
      <c r="D50" s="56">
        <v>916.08</v>
      </c>
      <c r="E50" s="186">
        <v>4.7699999999999996</v>
      </c>
      <c r="F50" s="39">
        <v>3</v>
      </c>
      <c r="G50" s="44"/>
    </row>
    <row r="51" spans="2:7" ht="29.1" customHeight="1">
      <c r="B51" s="350"/>
      <c r="C51" s="246" t="s">
        <v>540</v>
      </c>
      <c r="D51" s="56">
        <v>556.47</v>
      </c>
      <c r="E51" s="186">
        <v>2.7</v>
      </c>
      <c r="F51" s="39">
        <v>5</v>
      </c>
      <c r="G51" s="44"/>
    </row>
    <row r="52" spans="2:7" ht="29.1" customHeight="1">
      <c r="B52" s="350"/>
      <c r="C52" s="246" t="s">
        <v>540</v>
      </c>
      <c r="D52" s="56">
        <v>86.4</v>
      </c>
      <c r="E52" s="186">
        <v>9</v>
      </c>
      <c r="F52" s="39">
        <v>1</v>
      </c>
      <c r="G52" s="44"/>
    </row>
    <row r="53" spans="2:7" ht="29.1" customHeight="1">
      <c r="B53" s="350"/>
      <c r="C53" s="246" t="s">
        <v>541</v>
      </c>
      <c r="D53" s="56">
        <v>444.96</v>
      </c>
      <c r="E53" s="186">
        <v>2.7</v>
      </c>
      <c r="F53" s="39">
        <v>2</v>
      </c>
      <c r="G53" s="44"/>
    </row>
    <row r="54" spans="2:7" ht="29.1" customHeight="1">
      <c r="B54" s="350"/>
      <c r="C54" s="246" t="s">
        <v>542</v>
      </c>
      <c r="D54" s="56">
        <v>540</v>
      </c>
      <c r="E54" s="186">
        <v>9</v>
      </c>
      <c r="F54" s="39">
        <v>2</v>
      </c>
      <c r="G54" s="44"/>
    </row>
    <row r="55" spans="2:7" ht="29.1" customHeight="1">
      <c r="B55" s="350"/>
      <c r="C55" s="246" t="s">
        <v>543</v>
      </c>
      <c r="D55" s="56">
        <v>1816.6</v>
      </c>
      <c r="E55" s="186">
        <v>4.7699999999999996</v>
      </c>
      <c r="F55" s="39">
        <v>3</v>
      </c>
      <c r="G55" s="44"/>
    </row>
    <row r="56" spans="2:7" ht="29.1" customHeight="1">
      <c r="B56" s="350"/>
      <c r="C56" s="246" t="s">
        <v>544</v>
      </c>
      <c r="D56" s="56">
        <v>167.4</v>
      </c>
      <c r="E56" s="186">
        <v>2.7</v>
      </c>
      <c r="F56" s="39">
        <v>1</v>
      </c>
      <c r="G56" s="44"/>
    </row>
    <row r="57" spans="2:7" ht="29.1" customHeight="1">
      <c r="B57" s="350"/>
      <c r="C57" s="246" t="s">
        <v>545</v>
      </c>
      <c r="D57" s="56">
        <v>2257.65</v>
      </c>
      <c r="E57" s="186">
        <v>4.7699999999999996</v>
      </c>
      <c r="F57" s="39">
        <v>2</v>
      </c>
      <c r="G57" s="44"/>
    </row>
    <row r="58" spans="2:7" ht="29.1" customHeight="1">
      <c r="B58" s="350"/>
      <c r="C58" s="246" t="s">
        <v>546</v>
      </c>
      <c r="D58" s="56">
        <v>2465.14</v>
      </c>
      <c r="E58" s="186">
        <v>4.7699999999999996</v>
      </c>
      <c r="F58" s="39">
        <v>2</v>
      </c>
      <c r="G58" s="44"/>
    </row>
    <row r="59" spans="2:7" ht="29.1" customHeight="1">
      <c r="B59" s="350"/>
      <c r="C59" s="246" t="s">
        <v>547</v>
      </c>
      <c r="D59" s="56">
        <v>968.32</v>
      </c>
      <c r="E59" s="186">
        <v>4.7699999999999996</v>
      </c>
      <c r="F59" s="39">
        <v>2</v>
      </c>
      <c r="G59" s="44"/>
    </row>
    <row r="60" spans="2:7" ht="29.1" customHeight="1">
      <c r="B60" s="350"/>
      <c r="C60" s="6" t="s">
        <v>548</v>
      </c>
      <c r="D60" s="56">
        <v>219.24</v>
      </c>
      <c r="E60" s="186">
        <v>2.7</v>
      </c>
      <c r="F60" s="39">
        <v>2</v>
      </c>
      <c r="G60" s="44"/>
    </row>
    <row r="61" spans="2:7" ht="29.1" customHeight="1">
      <c r="B61" s="350"/>
      <c r="C61" s="6" t="s">
        <v>549</v>
      </c>
      <c r="D61" s="56">
        <v>970.66</v>
      </c>
      <c r="E61" s="186">
        <v>2.7</v>
      </c>
      <c r="F61" s="39">
        <v>2</v>
      </c>
      <c r="G61" s="44"/>
    </row>
    <row r="62" spans="2:7" ht="29.1" customHeight="1">
      <c r="B62" s="350"/>
      <c r="C62" s="246" t="s">
        <v>550</v>
      </c>
      <c r="D62" s="56">
        <v>451.44</v>
      </c>
      <c r="E62" s="186">
        <v>2.7</v>
      </c>
      <c r="F62" s="39">
        <v>2</v>
      </c>
      <c r="G62" s="44"/>
    </row>
    <row r="63" spans="2:7" ht="29.1" customHeight="1">
      <c r="B63" s="350"/>
      <c r="C63" s="246" t="s">
        <v>551</v>
      </c>
      <c r="D63" s="56">
        <v>464.4</v>
      </c>
      <c r="E63" s="186">
        <v>2.7</v>
      </c>
      <c r="F63" s="39">
        <v>2</v>
      </c>
      <c r="G63" s="44"/>
    </row>
    <row r="64" spans="2:7" ht="29.1" customHeight="1">
      <c r="B64" s="350"/>
      <c r="C64" s="246" t="s">
        <v>552</v>
      </c>
      <c r="D64" s="56">
        <v>688.79</v>
      </c>
      <c r="E64" s="186">
        <v>4.7699999999999996</v>
      </c>
      <c r="F64" s="39">
        <v>2</v>
      </c>
      <c r="G64" s="44"/>
    </row>
    <row r="65" spans="1:10" ht="29.1" customHeight="1">
      <c r="B65" s="350"/>
      <c r="C65" s="246" t="s">
        <v>553</v>
      </c>
      <c r="D65" s="56">
        <v>237.33</v>
      </c>
      <c r="E65" s="186">
        <v>2.7</v>
      </c>
      <c r="F65" s="39">
        <v>2</v>
      </c>
      <c r="G65" s="44"/>
    </row>
    <row r="66" spans="1:10" ht="29.1" customHeight="1">
      <c r="B66" s="350"/>
      <c r="C66" s="246" t="s">
        <v>554</v>
      </c>
      <c r="D66" s="56">
        <v>45.79</v>
      </c>
      <c r="E66" s="186">
        <v>4.7699999999999996</v>
      </c>
      <c r="F66" s="39">
        <v>1</v>
      </c>
      <c r="G66" s="44"/>
    </row>
    <row r="67" spans="1:10" ht="29.1" customHeight="1">
      <c r="B67" s="350"/>
      <c r="C67" s="246" t="s">
        <v>555</v>
      </c>
      <c r="D67" s="56">
        <v>325.49</v>
      </c>
      <c r="E67" s="186">
        <v>2.7</v>
      </c>
      <c r="F67" s="39">
        <v>2</v>
      </c>
      <c r="G67" s="44"/>
    </row>
    <row r="68" spans="1:10" ht="29.1" customHeight="1">
      <c r="B68" s="351"/>
      <c r="C68" s="246" t="s">
        <v>556</v>
      </c>
      <c r="D68" s="56">
        <v>564.53</v>
      </c>
      <c r="E68" s="186">
        <v>4.7699999999999996</v>
      </c>
      <c r="F68" s="39">
        <v>2</v>
      </c>
      <c r="G68" s="44"/>
    </row>
    <row r="69" spans="1:10" ht="29.1" customHeight="1">
      <c r="B69" s="42" t="s">
        <v>52</v>
      </c>
      <c r="C69" s="246"/>
      <c r="D69" s="65">
        <f>SUM(D8:D68)</f>
        <v>55298.44</v>
      </c>
      <c r="E69" s="65">
        <f>SUM(E8:E68)</f>
        <v>251.51999999999998</v>
      </c>
      <c r="F69" s="64">
        <f>SUM(F8:F68)</f>
        <v>189</v>
      </c>
      <c r="G69" s="44"/>
    </row>
    <row r="70" spans="1:10" ht="54.6" customHeight="1">
      <c r="B70" s="345" t="s">
        <v>53</v>
      </c>
      <c r="C70" s="6" t="s">
        <v>557</v>
      </c>
      <c r="D70" s="56">
        <v>1037.25</v>
      </c>
      <c r="E70" s="186">
        <v>25</v>
      </c>
      <c r="F70" s="39">
        <v>27</v>
      </c>
      <c r="G70" s="247" t="s">
        <v>558</v>
      </c>
    </row>
    <row r="71" spans="1:10" ht="49.8" customHeight="1">
      <c r="B71" s="345"/>
      <c r="C71" s="6" t="s">
        <v>559</v>
      </c>
      <c r="D71" s="56">
        <v>731.09</v>
      </c>
      <c r="E71" s="186">
        <v>25</v>
      </c>
      <c r="F71" s="39">
        <v>25</v>
      </c>
      <c r="G71" s="247" t="s">
        <v>558</v>
      </c>
    </row>
    <row r="72" spans="1:10" ht="40.200000000000003" customHeight="1">
      <c r="B72" s="345"/>
      <c r="C72" s="6" t="s">
        <v>560</v>
      </c>
      <c r="D72" s="56">
        <v>76.88</v>
      </c>
      <c r="E72" s="186">
        <v>3.72</v>
      </c>
      <c r="F72" s="39">
        <v>3</v>
      </c>
      <c r="G72" s="247" t="s">
        <v>558</v>
      </c>
    </row>
    <row r="73" spans="1:10" ht="43.8" customHeight="1">
      <c r="B73" s="345"/>
      <c r="C73" s="6" t="s">
        <v>561</v>
      </c>
      <c r="D73" s="56">
        <v>14.88</v>
      </c>
      <c r="E73" s="186">
        <v>6.2</v>
      </c>
      <c r="F73" s="39">
        <v>2</v>
      </c>
      <c r="G73" s="247" t="s">
        <v>558</v>
      </c>
      <c r="H73" s="46"/>
      <c r="I73" s="46"/>
      <c r="J73" s="46"/>
    </row>
    <row r="74" spans="1:10" ht="25.5" customHeight="1">
      <c r="B74" s="48" t="s">
        <v>52</v>
      </c>
      <c r="C74" s="120"/>
      <c r="D74" s="65">
        <f>SUM(D70:D73)</f>
        <v>1860.1000000000004</v>
      </c>
      <c r="E74" s="65">
        <f>SUM(E70:E73)</f>
        <v>59.92</v>
      </c>
      <c r="F74" s="64">
        <f>SUM(F70:F73)</f>
        <v>57</v>
      </c>
      <c r="G74" s="44"/>
      <c r="H74" s="46"/>
      <c r="I74" s="46"/>
      <c r="J74" s="46"/>
    </row>
    <row r="75" spans="1:10" ht="31.5" customHeight="1">
      <c r="B75" s="352" t="s">
        <v>56</v>
      </c>
      <c r="C75" s="352"/>
      <c r="D75" s="352"/>
      <c r="E75" s="352"/>
      <c r="F75" s="352"/>
      <c r="G75" s="353"/>
    </row>
    <row r="76" spans="1:10" ht="53.25" customHeight="1">
      <c r="A76" s="13"/>
      <c r="B76" s="244" t="s">
        <v>5</v>
      </c>
      <c r="C76" s="244" t="s">
        <v>57</v>
      </c>
      <c r="D76" s="244" t="s">
        <v>7</v>
      </c>
      <c r="E76" s="244" t="s">
        <v>58</v>
      </c>
      <c r="F76" s="244" t="s">
        <v>9</v>
      </c>
      <c r="G76" s="245" t="s">
        <v>59</v>
      </c>
    </row>
    <row r="77" spans="1:10" ht="33" customHeight="1">
      <c r="B77" s="73" t="s">
        <v>60</v>
      </c>
      <c r="C77" s="38"/>
      <c r="D77" s="56">
        <v>0</v>
      </c>
      <c r="E77" s="56">
        <v>0</v>
      </c>
      <c r="F77" s="248">
        <v>0</v>
      </c>
      <c r="G77" s="10"/>
    </row>
    <row r="78" spans="1:10" ht="24.75" customHeight="1">
      <c r="B78" s="52" t="s">
        <v>52</v>
      </c>
      <c r="C78" s="53"/>
      <c r="D78" s="58">
        <f>SUM(D77)</f>
        <v>0</v>
      </c>
      <c r="E78" s="58">
        <f>SUM(E77)</f>
        <v>0</v>
      </c>
      <c r="F78" s="20">
        <f>SUM(F77)</f>
        <v>0</v>
      </c>
      <c r="G78" s="10"/>
    </row>
    <row r="79" spans="1:10" ht="28.5" customHeight="1">
      <c r="B79" s="73" t="s">
        <v>61</v>
      </c>
      <c r="C79" s="38" t="s">
        <v>562</v>
      </c>
      <c r="D79" s="56">
        <v>2763</v>
      </c>
      <c r="E79" s="56">
        <v>2763</v>
      </c>
      <c r="F79" s="248">
        <v>56</v>
      </c>
      <c r="G79" s="10"/>
    </row>
    <row r="80" spans="1:10" ht="29.25" customHeight="1">
      <c r="B80" s="52" t="s">
        <v>52</v>
      </c>
      <c r="C80" s="53"/>
      <c r="D80" s="65">
        <f>SUM(D79)</f>
        <v>2763</v>
      </c>
      <c r="E80" s="65">
        <f>SUM(E79)</f>
        <v>2763</v>
      </c>
      <c r="F80" s="129">
        <f>SUM(F79)</f>
        <v>56</v>
      </c>
      <c r="G80" s="10"/>
    </row>
    <row r="81" spans="2:7" ht="24" customHeight="1">
      <c r="B81" s="73" t="s">
        <v>63</v>
      </c>
      <c r="C81" s="38"/>
      <c r="D81" s="56">
        <v>0</v>
      </c>
      <c r="E81" s="56">
        <v>0</v>
      </c>
      <c r="F81" s="249">
        <v>0</v>
      </c>
      <c r="G81" s="10"/>
    </row>
    <row r="82" spans="2:7" ht="27" customHeight="1">
      <c r="B82" s="52" t="s">
        <v>52</v>
      </c>
      <c r="C82" s="53"/>
      <c r="D82" s="58">
        <f>SUM(D81)</f>
        <v>0</v>
      </c>
      <c r="E82" s="58">
        <f>SUM(E81)</f>
        <v>0</v>
      </c>
      <c r="F82" s="20">
        <f>SUM(F81)</f>
        <v>0</v>
      </c>
      <c r="G82" s="10"/>
    </row>
    <row r="83" spans="2:7" ht="27" customHeight="1">
      <c r="B83" s="73" t="s">
        <v>64</v>
      </c>
      <c r="C83" s="38" t="s">
        <v>563</v>
      </c>
      <c r="D83" s="56">
        <v>21700</v>
      </c>
      <c r="E83" s="56">
        <v>23011</v>
      </c>
      <c r="F83" s="39">
        <v>1</v>
      </c>
      <c r="G83" s="250" t="s">
        <v>564</v>
      </c>
    </row>
    <row r="84" spans="2:7" ht="24" customHeight="1">
      <c r="B84" s="52" t="s">
        <v>52</v>
      </c>
      <c r="C84" s="53"/>
      <c r="D84" s="65">
        <f>SUM(D83)</f>
        <v>21700</v>
      </c>
      <c r="E84" s="65">
        <f>SUM(E83)</f>
        <v>23011</v>
      </c>
      <c r="F84" s="129">
        <f>SUM(F83)</f>
        <v>1</v>
      </c>
      <c r="G84" s="10"/>
    </row>
    <row r="85" spans="2:7" ht="30.75" customHeight="1">
      <c r="B85" s="73" t="s">
        <v>124</v>
      </c>
      <c r="C85" s="51"/>
      <c r="D85" s="56">
        <v>0</v>
      </c>
      <c r="E85" s="56">
        <v>0</v>
      </c>
      <c r="F85" s="248">
        <v>0</v>
      </c>
      <c r="G85" s="10"/>
    </row>
    <row r="86" spans="2:7" ht="28.8" customHeight="1">
      <c r="B86" s="52" t="s">
        <v>52</v>
      </c>
      <c r="C86" s="53"/>
      <c r="D86" s="58">
        <f>SUM(D85)</f>
        <v>0</v>
      </c>
      <c r="E86" s="58">
        <f>SUM(E85)</f>
        <v>0</v>
      </c>
      <c r="F86" s="20">
        <f>SUM(F85)</f>
        <v>0</v>
      </c>
      <c r="G86" s="10"/>
    </row>
    <row r="87" spans="2:7" ht="17.25" customHeight="1">
      <c r="B87" s="341"/>
      <c r="C87" s="341"/>
      <c r="D87" s="341"/>
      <c r="E87" s="341"/>
      <c r="F87" s="341"/>
      <c r="G87" s="341"/>
    </row>
    <row r="88" spans="2:7" ht="33" customHeight="1">
      <c r="B88" s="48" t="s">
        <v>350</v>
      </c>
      <c r="C88" s="53"/>
      <c r="D88" s="65">
        <f>SUM(D69+D74+D78+D80+D82+D84+D86)</f>
        <v>81621.540000000008</v>
      </c>
      <c r="E88" s="65">
        <f>SUM(E69+E74+E78+E80+E82+E84+E86)</f>
        <v>26085.439999999999</v>
      </c>
      <c r="F88" s="251">
        <f>SUM(F69+F74+F78+F80+F82+F84+F86)</f>
        <v>303</v>
      </c>
      <c r="G88" s="10"/>
    </row>
    <row r="89" spans="2:7">
      <c r="B89" s="28"/>
      <c r="C89" s="29"/>
      <c r="D89" s="29"/>
      <c r="E89" s="29"/>
      <c r="F89" s="29"/>
    </row>
    <row r="90" spans="2:7">
      <c r="B90" s="28"/>
      <c r="C90" s="29"/>
      <c r="D90" s="29"/>
      <c r="E90" s="29"/>
      <c r="F90" s="29"/>
    </row>
    <row r="91" spans="2:7">
      <c r="B91" s="54" t="s">
        <v>492</v>
      </c>
    </row>
    <row r="92" spans="2:7">
      <c r="B92" s="54"/>
    </row>
    <row r="93" spans="2:7">
      <c r="B93" s="31" t="s">
        <v>488</v>
      </c>
    </row>
    <row r="94" spans="2:7">
      <c r="B94" s="31" t="s">
        <v>565</v>
      </c>
    </row>
    <row r="95" spans="2:7">
      <c r="B95" s="31" t="s">
        <v>566</v>
      </c>
    </row>
    <row r="96" spans="2:7">
      <c r="B96" s="32"/>
    </row>
    <row r="97" spans="2:4">
      <c r="B97" t="s">
        <v>73</v>
      </c>
    </row>
    <row r="98" spans="2:4">
      <c r="B98" s="307"/>
      <c r="C98" s="307"/>
      <c r="D98" s="307"/>
    </row>
    <row r="99" spans="2:4">
      <c r="B99" t="s">
        <v>129</v>
      </c>
    </row>
    <row r="100" spans="2:4" ht="15.75" customHeight="1"/>
  </sheetData>
  <mergeCells count="8">
    <mergeCell ref="B87:G87"/>
    <mergeCell ref="B98:D98"/>
    <mergeCell ref="B4:G4"/>
    <mergeCell ref="B5:G5"/>
    <mergeCell ref="B6:G6"/>
    <mergeCell ref="B8:B68"/>
    <mergeCell ref="B70:B73"/>
    <mergeCell ref="B75:G7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44F5A9-6EEB-445A-8AEA-1C40B6F01E18}">
  <dimension ref="B1:J83"/>
  <sheetViews>
    <sheetView topLeftCell="A51" zoomScale="110" zoomScaleNormal="110" workbookViewId="0">
      <selection activeCell="G73" sqref="G73"/>
    </sheetView>
  </sheetViews>
  <sheetFormatPr defaultRowHeight="14.4"/>
  <cols>
    <col min="1" max="1" width="5.21875" customWidth="1"/>
    <col min="2" max="2" width="33.109375" customWidth="1"/>
    <col min="3" max="3" width="40.5546875" customWidth="1"/>
    <col min="4" max="5" width="25.6640625" customWidth="1"/>
    <col min="6" max="6" width="21.6640625" customWidth="1"/>
    <col min="7" max="7" width="47.6640625" customWidth="1"/>
  </cols>
  <sheetData>
    <row r="1" spans="2:10" ht="20.399999999999999">
      <c r="B1" s="33" t="s">
        <v>0</v>
      </c>
      <c r="C1" s="34"/>
      <c r="D1" s="34"/>
      <c r="E1" s="34"/>
      <c r="F1" s="34"/>
      <c r="G1" s="34"/>
    </row>
    <row r="2" spans="2:10" ht="20.399999999999999">
      <c r="B2" s="33" t="s">
        <v>1</v>
      </c>
      <c r="C2" s="34"/>
      <c r="D2" s="132"/>
      <c r="E2" s="132"/>
      <c r="F2" s="34"/>
      <c r="G2" s="34"/>
    </row>
    <row r="3" spans="2:10" ht="14.4" customHeight="1">
      <c r="B3" s="131"/>
      <c r="C3" s="34"/>
      <c r="D3" s="132"/>
      <c r="E3" s="132"/>
      <c r="F3" s="34"/>
      <c r="G3" s="34"/>
    </row>
    <row r="4" spans="2:10" ht="27.6" customHeight="1">
      <c r="B4" s="339" t="s">
        <v>2</v>
      </c>
      <c r="C4" s="339"/>
      <c r="D4" s="339"/>
      <c r="E4" s="339"/>
      <c r="F4" s="339"/>
      <c r="G4" s="339"/>
    </row>
    <row r="5" spans="2:10" ht="18">
      <c r="B5" s="339" t="s">
        <v>351</v>
      </c>
      <c r="C5" s="339"/>
      <c r="D5" s="339"/>
      <c r="E5" s="339"/>
      <c r="F5" s="339"/>
      <c r="G5" s="339"/>
    </row>
    <row r="6" spans="2:10" ht="18">
      <c r="B6" s="340" t="s">
        <v>4</v>
      </c>
      <c r="C6" s="364"/>
      <c r="D6" s="364"/>
      <c r="E6" s="364"/>
      <c r="F6" s="364"/>
      <c r="G6" s="364"/>
    </row>
    <row r="7" spans="2:10" ht="55.5" customHeight="1">
      <c r="B7" s="133" t="s">
        <v>5</v>
      </c>
      <c r="C7" s="134" t="s">
        <v>6</v>
      </c>
      <c r="D7" s="134" t="s">
        <v>7</v>
      </c>
      <c r="E7" s="134" t="s">
        <v>8</v>
      </c>
      <c r="F7" s="134" t="s">
        <v>9</v>
      </c>
      <c r="G7" s="135" t="s">
        <v>10</v>
      </c>
    </row>
    <row r="8" spans="2:10" ht="35.25" customHeight="1">
      <c r="B8" s="365" t="s">
        <v>301</v>
      </c>
      <c r="C8" s="360" t="s">
        <v>352</v>
      </c>
      <c r="D8" s="163">
        <f>64.53+39.6+21.06+15.12+42.55+244.53+87.48</f>
        <v>514.87</v>
      </c>
      <c r="E8" s="160">
        <f>6*0.3</f>
        <v>1.7999999999999998</v>
      </c>
      <c r="F8" s="168">
        <v>10</v>
      </c>
      <c r="G8" s="139"/>
    </row>
    <row r="9" spans="2:10" ht="30" customHeight="1">
      <c r="B9" s="366"/>
      <c r="C9" s="360"/>
      <c r="D9" s="163">
        <v>327.60000000000002</v>
      </c>
      <c r="E9" s="160">
        <f>6*0.3</f>
        <v>1.7999999999999998</v>
      </c>
      <c r="F9" s="168">
        <v>1</v>
      </c>
      <c r="G9" s="139"/>
    </row>
    <row r="10" spans="2:10">
      <c r="B10" s="366"/>
      <c r="C10" s="360" t="s">
        <v>353</v>
      </c>
      <c r="D10" s="361">
        <f>264+559.26+301.14+240+17.82+271.8+149.31+178.47</f>
        <v>1981.8</v>
      </c>
      <c r="E10" s="160">
        <f>10*0.3</f>
        <v>3</v>
      </c>
      <c r="F10" s="168">
        <v>2</v>
      </c>
      <c r="G10" s="139"/>
    </row>
    <row r="11" spans="2:10" ht="51.75" customHeight="1">
      <c r="B11" s="366"/>
      <c r="C11" s="360"/>
      <c r="D11" s="361"/>
      <c r="E11" s="160">
        <f>6*0.3</f>
        <v>1.7999999999999998</v>
      </c>
      <c r="F11" s="168">
        <v>5</v>
      </c>
      <c r="G11" s="139"/>
    </row>
    <row r="12" spans="2:10" ht="41.25" customHeight="1">
      <c r="B12" s="366"/>
      <c r="C12" s="360" t="s">
        <v>354</v>
      </c>
      <c r="D12" s="361">
        <f>573.6+97.65+71.7+322.65+1236.82+72+236.7+46.8+101.7+298.5+82.8</f>
        <v>3140.92</v>
      </c>
      <c r="E12" s="160">
        <f>6*0.3</f>
        <v>1.7999999999999998</v>
      </c>
      <c r="F12" s="168">
        <v>3</v>
      </c>
      <c r="G12" s="139"/>
    </row>
    <row r="13" spans="2:10">
      <c r="B13" s="366"/>
      <c r="C13" s="360"/>
      <c r="D13" s="361"/>
      <c r="E13" s="160">
        <f>10*0.3</f>
        <v>3</v>
      </c>
      <c r="F13" s="168">
        <v>9</v>
      </c>
      <c r="G13" s="139"/>
      <c r="H13" s="46"/>
      <c r="I13" s="46"/>
      <c r="J13" s="46"/>
    </row>
    <row r="14" spans="2:10">
      <c r="B14" s="366"/>
      <c r="C14" s="362" t="s">
        <v>355</v>
      </c>
      <c r="D14" s="367">
        <f>43.02+195.4+22.68+16.2+543.38+81+117.45+129.6</f>
        <v>1148.73</v>
      </c>
      <c r="E14" s="160">
        <f>15*0.3</f>
        <v>4.5</v>
      </c>
      <c r="F14" s="168">
        <v>6</v>
      </c>
      <c r="G14" s="139"/>
    </row>
    <row r="15" spans="2:10">
      <c r="B15" s="366"/>
      <c r="C15" s="362"/>
      <c r="D15" s="367"/>
      <c r="E15" s="160">
        <f>6*0.3</f>
        <v>1.7999999999999998</v>
      </c>
      <c r="F15" s="168">
        <v>3</v>
      </c>
      <c r="G15" s="139"/>
    </row>
    <row r="16" spans="2:10" ht="41.4">
      <c r="B16" s="366"/>
      <c r="C16" s="141" t="s">
        <v>356</v>
      </c>
      <c r="D16" s="173">
        <f>1571.85+344.2+396+213.81+634.5+213.81+407.5+303.75+135</f>
        <v>4220.42</v>
      </c>
      <c r="E16" s="160">
        <f>15*0.3</f>
        <v>4.5</v>
      </c>
      <c r="F16" s="168">
        <v>10</v>
      </c>
      <c r="G16" s="139"/>
    </row>
    <row r="17" spans="2:7" ht="41.4">
      <c r="B17" s="366"/>
      <c r="C17" s="139" t="s">
        <v>357</v>
      </c>
      <c r="D17" s="163">
        <f>32.4+24.3+197.1+38.7</f>
        <v>292.5</v>
      </c>
      <c r="E17" s="160">
        <v>1.8</v>
      </c>
      <c r="F17" s="168">
        <v>4</v>
      </c>
      <c r="G17" s="139"/>
    </row>
    <row r="18" spans="2:7" ht="33" customHeight="1">
      <c r="B18" s="366"/>
      <c r="C18" s="360" t="s">
        <v>358</v>
      </c>
      <c r="D18" s="361">
        <f>214.2+235.84+42.32+79.46+27.9+144.9+120.6+44.64+20.52+239.4+126.36+46.8</f>
        <v>1342.9399999999998</v>
      </c>
      <c r="E18" s="160">
        <f>10*0.3</f>
        <v>3</v>
      </c>
      <c r="F18" s="168">
        <v>9</v>
      </c>
      <c r="G18" s="139"/>
    </row>
    <row r="19" spans="2:7" ht="40.5" customHeight="1">
      <c r="B19" s="366"/>
      <c r="C19" s="360"/>
      <c r="D19" s="361"/>
      <c r="E19" s="160">
        <f>6*0.3</f>
        <v>1.7999999999999998</v>
      </c>
      <c r="F19" s="168">
        <v>4</v>
      </c>
      <c r="G19" s="139"/>
    </row>
    <row r="20" spans="2:7">
      <c r="B20" s="366"/>
      <c r="C20" s="362" t="s">
        <v>359</v>
      </c>
      <c r="D20" s="361">
        <f>39.24+92.96+65.4+39.24+196.2+39.24+82.8+67.5+41.4+27+16.74+33.75</f>
        <v>741.46999999999991</v>
      </c>
      <c r="E20" s="160">
        <f>10*0.3</f>
        <v>3</v>
      </c>
      <c r="F20" s="168">
        <v>7</v>
      </c>
      <c r="G20" s="139"/>
    </row>
    <row r="21" spans="2:7">
      <c r="B21" s="366"/>
      <c r="C21" s="362"/>
      <c r="D21" s="361"/>
      <c r="E21" s="160">
        <f>6*0.3</f>
        <v>1.7999999999999998</v>
      </c>
      <c r="F21" s="168">
        <v>4</v>
      </c>
      <c r="G21" s="139"/>
    </row>
    <row r="22" spans="2:7" ht="55.2">
      <c r="B22" s="366"/>
      <c r="C22" s="141" t="s">
        <v>360</v>
      </c>
      <c r="D22" s="163">
        <f>39.24+70.56+39.24+216+35.1+27+55.8+37.8</f>
        <v>520.74</v>
      </c>
      <c r="E22" s="160">
        <f>6*0.3</f>
        <v>1.7999999999999998</v>
      </c>
      <c r="F22" s="168">
        <v>8</v>
      </c>
      <c r="G22" s="139"/>
    </row>
    <row r="23" spans="2:7">
      <c r="B23" s="366"/>
      <c r="C23" s="362" t="s">
        <v>361</v>
      </c>
      <c r="D23" s="361">
        <f>112.12+130.2+58.86+450.9+227.85+65.41+35.1+83.7+561.6+37.8+55.8+36.72+63+37.8+29.7+61.2</f>
        <v>2047.7599999999998</v>
      </c>
      <c r="E23" s="160">
        <f>10*0.3</f>
        <v>3</v>
      </c>
      <c r="F23" s="168">
        <v>13</v>
      </c>
      <c r="G23" s="139"/>
    </row>
    <row r="24" spans="2:7">
      <c r="B24" s="366"/>
      <c r="C24" s="362"/>
      <c r="D24" s="361"/>
      <c r="E24" s="160">
        <f>6*0.3</f>
        <v>1.7999999999999998</v>
      </c>
      <c r="F24" s="168">
        <v>2</v>
      </c>
      <c r="G24" s="139"/>
    </row>
    <row r="25" spans="2:7" ht="41.4">
      <c r="B25" s="366"/>
      <c r="C25" s="139" t="s">
        <v>362</v>
      </c>
      <c r="D25" s="163">
        <f>252+28.35+294.3</f>
        <v>574.65000000000009</v>
      </c>
      <c r="E25" s="160">
        <f>10*0.3</f>
        <v>3</v>
      </c>
      <c r="F25" s="168">
        <v>2</v>
      </c>
      <c r="G25" s="139"/>
    </row>
    <row r="26" spans="2:7" ht="41.4">
      <c r="B26" s="366"/>
      <c r="C26" s="139" t="s">
        <v>363</v>
      </c>
      <c r="D26" s="163">
        <f>321.3+1071+1392.3+214.2+179+585.23+546.75+205+121.5+85.05</f>
        <v>4721.33</v>
      </c>
      <c r="E26" s="160">
        <f>15*0.3</f>
        <v>4.5</v>
      </c>
      <c r="F26" s="168">
        <v>10</v>
      </c>
      <c r="G26" s="139"/>
    </row>
    <row r="27" spans="2:7">
      <c r="B27" s="366"/>
      <c r="C27" s="360" t="s">
        <v>364</v>
      </c>
      <c r="D27" s="361">
        <f>78.12+197.1+47.25+904.92+35.1+30.24+240+488.7</f>
        <v>2021.4299999999998</v>
      </c>
      <c r="E27" s="160">
        <f>10*0.3</f>
        <v>3</v>
      </c>
      <c r="F27" s="168">
        <v>4</v>
      </c>
      <c r="G27" s="139"/>
    </row>
    <row r="28" spans="2:7">
      <c r="B28" s="366"/>
      <c r="C28" s="360"/>
      <c r="D28" s="361"/>
      <c r="E28" s="160">
        <f>6*0.3</f>
        <v>1.7999999999999998</v>
      </c>
      <c r="F28" s="168">
        <v>4</v>
      </c>
      <c r="G28" s="139"/>
    </row>
    <row r="29" spans="2:7">
      <c r="B29" s="366"/>
      <c r="C29" s="362" t="s">
        <v>365</v>
      </c>
      <c r="D29" s="361">
        <f>142.8+64.26+65.1+227.85+58.5+285.6+22.68+17.82+55.8+60+90</f>
        <v>1090.4099999999999</v>
      </c>
      <c r="E29" s="160">
        <f>10*0.3</f>
        <v>3</v>
      </c>
      <c r="F29" s="168">
        <v>5</v>
      </c>
      <c r="G29" s="139"/>
    </row>
    <row r="30" spans="2:7">
      <c r="B30" s="366"/>
      <c r="C30" s="362"/>
      <c r="D30" s="361"/>
      <c r="E30" s="160">
        <v>6</v>
      </c>
      <c r="F30" s="168">
        <v>3</v>
      </c>
      <c r="G30" s="136"/>
    </row>
    <row r="31" spans="2:7" ht="24" customHeight="1">
      <c r="B31" s="366"/>
      <c r="C31" s="362"/>
      <c r="D31" s="361"/>
      <c r="E31" s="160">
        <f>6*0.3</f>
        <v>1.7999999999999998</v>
      </c>
      <c r="F31" s="168">
        <v>3</v>
      </c>
      <c r="G31" s="139"/>
    </row>
    <row r="32" spans="2:7" ht="27.75" customHeight="1">
      <c r="B32" s="366"/>
      <c r="C32" s="362" t="s">
        <v>366</v>
      </c>
      <c r="D32" s="361">
        <v>405</v>
      </c>
      <c r="E32" s="160">
        <f>10*0.3</f>
        <v>3</v>
      </c>
      <c r="F32" s="168">
        <v>1</v>
      </c>
      <c r="G32" s="139"/>
    </row>
    <row r="33" spans="2:7" ht="27.75" customHeight="1">
      <c r="B33" s="366"/>
      <c r="C33" s="362"/>
      <c r="D33" s="361"/>
      <c r="E33" s="180">
        <v>0</v>
      </c>
      <c r="F33" s="175">
        <v>0</v>
      </c>
      <c r="G33" s="136" t="s">
        <v>479</v>
      </c>
    </row>
    <row r="34" spans="2:7" ht="21.75" customHeight="1">
      <c r="B34" s="366"/>
      <c r="C34" s="360" t="s">
        <v>367</v>
      </c>
      <c r="D34" s="361">
        <f>170.1+33.66+134.4+70.2+16.2+15.66+16.74+72+67.5+84+54</f>
        <v>734.46</v>
      </c>
      <c r="E34" s="160">
        <v>6</v>
      </c>
      <c r="F34" s="168">
        <v>2</v>
      </c>
      <c r="G34" s="136"/>
    </row>
    <row r="35" spans="2:7" ht="30.75" customHeight="1">
      <c r="B35" s="366"/>
      <c r="C35" s="360"/>
      <c r="D35" s="361"/>
      <c r="E35" s="160">
        <f>6*0.3</f>
        <v>1.7999999999999998</v>
      </c>
      <c r="F35" s="168">
        <v>9</v>
      </c>
      <c r="G35" s="139"/>
    </row>
    <row r="36" spans="2:7" ht="29.25" customHeight="1">
      <c r="B36" s="366"/>
      <c r="C36" s="360" t="s">
        <v>368</v>
      </c>
      <c r="D36" s="361">
        <f>15.39+40.32+35.91+850.5+78.3+37.8+21.06+61.2+27+32.4+122.4+17.82+111.6</f>
        <v>1451.7</v>
      </c>
      <c r="E36" s="160">
        <f>6*0.3</f>
        <v>1.7999999999999998</v>
      </c>
      <c r="F36" s="168">
        <v>7</v>
      </c>
      <c r="G36" s="139"/>
    </row>
    <row r="37" spans="2:7" ht="27" customHeight="1">
      <c r="B37" s="366"/>
      <c r="C37" s="360"/>
      <c r="D37" s="361"/>
      <c r="E37" s="160">
        <v>6</v>
      </c>
      <c r="F37" s="168">
        <v>1</v>
      </c>
      <c r="G37" s="136"/>
    </row>
    <row r="38" spans="2:7">
      <c r="B38" s="366"/>
      <c r="C38" s="360"/>
      <c r="D38" s="361"/>
      <c r="E38" s="160">
        <f>10*0.3</f>
        <v>3</v>
      </c>
      <c r="F38" s="168">
        <v>3</v>
      </c>
      <c r="G38" s="139"/>
    </row>
    <row r="39" spans="2:7" ht="36" customHeight="1">
      <c r="B39" s="366"/>
      <c r="C39" s="360" t="s">
        <v>369</v>
      </c>
      <c r="D39" s="361">
        <f>61.2+15+21.6+23.4+33.75</f>
        <v>154.95000000000002</v>
      </c>
      <c r="E39" s="160">
        <f>10*0.3</f>
        <v>3</v>
      </c>
      <c r="F39" s="168">
        <v>5</v>
      </c>
      <c r="G39" s="139"/>
    </row>
    <row r="40" spans="2:7" ht="28.5" customHeight="1">
      <c r="B40" s="366"/>
      <c r="C40" s="360"/>
      <c r="D40" s="361"/>
      <c r="E40" s="160">
        <v>0</v>
      </c>
      <c r="F40" s="168">
        <v>0</v>
      </c>
      <c r="G40" s="136" t="s">
        <v>479</v>
      </c>
    </row>
    <row r="41" spans="2:7" ht="25.5" customHeight="1">
      <c r="B41" s="366"/>
      <c r="C41" s="362" t="s">
        <v>370</v>
      </c>
      <c r="D41" s="361">
        <f>37.08+113.4+63+22.68+16.2+378+122.85+17.82+84</f>
        <v>855.03000000000009</v>
      </c>
      <c r="E41" s="160">
        <f>6*0.3</f>
        <v>1.7999999999999998</v>
      </c>
      <c r="F41" s="168">
        <v>2</v>
      </c>
      <c r="G41" s="139"/>
    </row>
    <row r="42" spans="2:7">
      <c r="B42" s="366"/>
      <c r="C42" s="362"/>
      <c r="D42" s="361"/>
      <c r="E42" s="160">
        <v>6</v>
      </c>
      <c r="F42" s="168">
        <v>2</v>
      </c>
      <c r="G42" s="136"/>
    </row>
    <row r="43" spans="2:7">
      <c r="B43" s="366"/>
      <c r="C43" s="362"/>
      <c r="D43" s="361"/>
      <c r="E43" s="160">
        <f>10*0.3</f>
        <v>3</v>
      </c>
      <c r="F43" s="168">
        <v>6</v>
      </c>
      <c r="G43" s="139"/>
    </row>
    <row r="44" spans="2:7" ht="25.5" customHeight="1">
      <c r="B44" s="366"/>
      <c r="C44" s="141" t="s">
        <v>371</v>
      </c>
      <c r="D44" s="163">
        <f>16.2+25.11+41.85</f>
        <v>83.16</v>
      </c>
      <c r="E44" s="160">
        <f>6*0.3</f>
        <v>1.7999999999999998</v>
      </c>
      <c r="F44" s="168">
        <v>3</v>
      </c>
      <c r="G44" s="139"/>
    </row>
    <row r="45" spans="2:7" ht="41.4">
      <c r="B45" s="366"/>
      <c r="C45" s="141" t="s">
        <v>372</v>
      </c>
      <c r="D45" s="163">
        <f>63+63+189+27+45.9+120.15+36</f>
        <v>544.04999999999995</v>
      </c>
      <c r="E45" s="160">
        <f>10*0.3</f>
        <v>3</v>
      </c>
      <c r="F45" s="168">
        <v>7</v>
      </c>
      <c r="G45" s="139"/>
    </row>
    <row r="46" spans="2:7" ht="25.8" customHeight="1">
      <c r="B46" s="137" t="s">
        <v>52</v>
      </c>
      <c r="C46" s="138"/>
      <c r="D46" s="172">
        <f>SUM(D8:D45)</f>
        <v>28915.920000000002</v>
      </c>
      <c r="E46" s="172">
        <f>SUM(E8:E45)</f>
        <v>105.29999999999998</v>
      </c>
      <c r="F46" s="169">
        <f>SUM(F8:F45)</f>
        <v>179</v>
      </c>
      <c r="G46" s="138"/>
    </row>
    <row r="47" spans="2:7" ht="27.6">
      <c r="B47" s="363" t="s">
        <v>53</v>
      </c>
      <c r="C47" s="174" t="s">
        <v>373</v>
      </c>
      <c r="D47" s="162">
        <v>288.75</v>
      </c>
      <c r="E47" s="162">
        <v>25</v>
      </c>
      <c r="F47" s="170">
        <v>10</v>
      </c>
      <c r="G47" s="139" t="s">
        <v>374</v>
      </c>
    </row>
    <row r="48" spans="2:7" ht="27.6">
      <c r="B48" s="363"/>
      <c r="C48" s="139" t="s">
        <v>375</v>
      </c>
      <c r="D48" s="162">
        <v>116.5</v>
      </c>
      <c r="E48" s="162">
        <v>37</v>
      </c>
      <c r="F48" s="170">
        <v>2</v>
      </c>
      <c r="G48" s="139" t="s">
        <v>374</v>
      </c>
    </row>
    <row r="49" spans="2:7" ht="27.6">
      <c r="B49" s="363"/>
      <c r="C49" s="139" t="s">
        <v>376</v>
      </c>
      <c r="D49" s="162">
        <v>0</v>
      </c>
      <c r="E49" s="162">
        <v>37</v>
      </c>
      <c r="F49" s="170">
        <v>0</v>
      </c>
      <c r="G49" s="139" t="s">
        <v>374</v>
      </c>
    </row>
    <row r="50" spans="2:7" ht="27.6">
      <c r="B50" s="363"/>
      <c r="C50" s="139" t="s">
        <v>377</v>
      </c>
      <c r="D50" s="163">
        <v>262.5</v>
      </c>
      <c r="E50" s="163">
        <v>37</v>
      </c>
      <c r="F50" s="170">
        <v>5</v>
      </c>
      <c r="G50" s="139" t="s">
        <v>374</v>
      </c>
    </row>
    <row r="51" spans="2:7" ht="22.8" customHeight="1">
      <c r="B51" s="137" t="s">
        <v>52</v>
      </c>
      <c r="C51" s="140"/>
      <c r="D51" s="161">
        <f>SUM(D47:D50)</f>
        <v>667.75</v>
      </c>
      <c r="E51" s="161">
        <f>SUM(E47:E50)</f>
        <v>136</v>
      </c>
      <c r="F51" s="169">
        <f>+SUM(F47:F50)</f>
        <v>17</v>
      </c>
      <c r="G51" s="141"/>
    </row>
    <row r="52" spans="2:7">
      <c r="B52" s="354" t="s">
        <v>56</v>
      </c>
      <c r="C52" s="354"/>
      <c r="D52" s="354"/>
      <c r="E52" s="354"/>
      <c r="F52" s="354"/>
      <c r="G52" s="354"/>
    </row>
    <row r="53" spans="2:7" ht="41.4">
      <c r="B53" s="142" t="s">
        <v>5</v>
      </c>
      <c r="C53" s="143" t="s">
        <v>57</v>
      </c>
      <c r="D53" s="143" t="s">
        <v>7</v>
      </c>
      <c r="E53" s="143" t="s">
        <v>58</v>
      </c>
      <c r="F53" s="143" t="s">
        <v>9</v>
      </c>
      <c r="G53" s="143" t="s">
        <v>59</v>
      </c>
    </row>
    <row r="54" spans="2:7" ht="41.4">
      <c r="B54" s="144" t="s">
        <v>60</v>
      </c>
      <c r="C54" s="145" t="s">
        <v>378</v>
      </c>
      <c r="D54" s="163">
        <v>882</v>
      </c>
      <c r="E54" s="163">
        <v>1764</v>
      </c>
      <c r="F54" s="171">
        <v>1</v>
      </c>
      <c r="G54" s="146"/>
    </row>
    <row r="55" spans="2:7">
      <c r="B55" s="147" t="s">
        <v>52</v>
      </c>
      <c r="C55" s="176"/>
      <c r="D55" s="177">
        <f>+D54</f>
        <v>882</v>
      </c>
      <c r="E55" s="177">
        <f>+E54</f>
        <v>1764</v>
      </c>
      <c r="F55" s="178">
        <f>+F54</f>
        <v>1</v>
      </c>
      <c r="G55" s="146"/>
    </row>
    <row r="56" spans="2:7">
      <c r="B56" s="356" t="s">
        <v>61</v>
      </c>
      <c r="C56" s="149" t="s">
        <v>379</v>
      </c>
      <c r="D56" s="163">
        <v>795</v>
      </c>
      <c r="E56" s="163">
        <v>840</v>
      </c>
      <c r="F56" s="171">
        <v>18</v>
      </c>
      <c r="G56" s="133"/>
    </row>
    <row r="57" spans="2:7">
      <c r="B57" s="357"/>
      <c r="C57" s="149" t="s">
        <v>380</v>
      </c>
      <c r="D57" s="163">
        <v>2409</v>
      </c>
      <c r="E57" s="163">
        <v>2376</v>
      </c>
      <c r="F57" s="171">
        <v>69</v>
      </c>
      <c r="G57" s="146" t="s">
        <v>572</v>
      </c>
    </row>
    <row r="58" spans="2:7">
      <c r="B58" s="357"/>
      <c r="C58" s="149" t="s">
        <v>381</v>
      </c>
      <c r="D58" s="163">
        <v>0</v>
      </c>
      <c r="E58" s="163">
        <v>0</v>
      </c>
      <c r="F58" s="171">
        <v>0</v>
      </c>
      <c r="G58" s="146"/>
    </row>
    <row r="59" spans="2:7">
      <c r="B59" s="357"/>
      <c r="C59" s="149" t="s">
        <v>382</v>
      </c>
      <c r="D59" s="163">
        <v>960</v>
      </c>
      <c r="E59" s="163">
        <v>960</v>
      </c>
      <c r="F59" s="171">
        <v>20</v>
      </c>
      <c r="G59" s="146"/>
    </row>
    <row r="60" spans="2:7">
      <c r="B60" s="358"/>
      <c r="C60" s="150" t="s">
        <v>383</v>
      </c>
      <c r="D60" s="163">
        <v>650</v>
      </c>
      <c r="E60" s="163">
        <v>650</v>
      </c>
      <c r="F60" s="171">
        <v>10</v>
      </c>
      <c r="G60" s="133"/>
    </row>
    <row r="61" spans="2:7">
      <c r="B61" s="137" t="s">
        <v>52</v>
      </c>
      <c r="C61" s="179"/>
      <c r="D61" s="161">
        <f>SUM(D56:D60)</f>
        <v>4814</v>
      </c>
      <c r="E61" s="161">
        <f>SUM(E56:E60)</f>
        <v>4826</v>
      </c>
      <c r="F61" s="169">
        <f>SUM(F56:F60)</f>
        <v>117</v>
      </c>
      <c r="G61" s="146"/>
    </row>
    <row r="62" spans="2:7">
      <c r="B62" s="144" t="s">
        <v>63</v>
      </c>
      <c r="C62" s="151"/>
      <c r="D62" s="164">
        <v>0</v>
      </c>
      <c r="E62" s="164">
        <v>0</v>
      </c>
      <c r="F62" s="152">
        <v>0</v>
      </c>
      <c r="G62" s="146"/>
    </row>
    <row r="63" spans="2:7">
      <c r="B63" s="137" t="s">
        <v>52</v>
      </c>
      <c r="C63" s="148"/>
      <c r="D63" s="165">
        <f>SUM(D62)</f>
        <v>0</v>
      </c>
      <c r="E63" s="165">
        <f>SUM(E62)</f>
        <v>0</v>
      </c>
      <c r="F63" s="153">
        <f>SUM(F62)</f>
        <v>0</v>
      </c>
      <c r="G63" s="146"/>
    </row>
    <row r="64" spans="2:7" ht="25.2" customHeight="1">
      <c r="B64" s="181" t="s">
        <v>64</v>
      </c>
      <c r="C64" s="154"/>
      <c r="D64" s="166">
        <v>0</v>
      </c>
      <c r="E64" s="166">
        <v>0</v>
      </c>
      <c r="F64" s="62">
        <v>0</v>
      </c>
      <c r="G64" s="146"/>
    </row>
    <row r="65" spans="2:7">
      <c r="B65" s="137" t="s">
        <v>52</v>
      </c>
      <c r="C65" s="148"/>
      <c r="D65" s="165">
        <f>SUM(D64)</f>
        <v>0</v>
      </c>
      <c r="E65" s="165">
        <f>SUM(E64)</f>
        <v>0</v>
      </c>
      <c r="F65" s="153">
        <f>SUM(F64)</f>
        <v>0</v>
      </c>
      <c r="G65" s="146"/>
    </row>
    <row r="66" spans="2:7">
      <c r="B66" s="144" t="s">
        <v>124</v>
      </c>
      <c r="C66" s="155"/>
      <c r="D66" s="167">
        <v>0</v>
      </c>
      <c r="E66" s="167">
        <v>0</v>
      </c>
      <c r="F66" s="62">
        <v>0</v>
      </c>
      <c r="G66" s="146"/>
    </row>
    <row r="67" spans="2:7">
      <c r="B67" s="142" t="s">
        <v>52</v>
      </c>
      <c r="C67" s="148"/>
      <c r="D67" s="165">
        <f>SUM(D66)</f>
        <v>0</v>
      </c>
      <c r="E67" s="165">
        <f>SUM(E66)</f>
        <v>0</v>
      </c>
      <c r="F67" s="153">
        <f>SUM(F66)</f>
        <v>0</v>
      </c>
      <c r="G67" s="146"/>
    </row>
    <row r="68" spans="2:7">
      <c r="B68" s="355"/>
      <c r="C68" s="355"/>
      <c r="D68" s="355"/>
      <c r="E68" s="355"/>
      <c r="F68" s="355"/>
      <c r="G68" s="355"/>
    </row>
    <row r="69" spans="2:7" ht="41.4">
      <c r="B69" s="142" t="s">
        <v>384</v>
      </c>
      <c r="C69" s="148"/>
      <c r="D69" s="183">
        <f>D67+D65+D63+D61+D55+D51+D46</f>
        <v>35279.67</v>
      </c>
      <c r="E69" s="183">
        <f>E67+E65+E63+E61+E55+E51+E46</f>
        <v>6831.3</v>
      </c>
      <c r="F69" s="184">
        <f>F67+F65+F63+F61+F55+F51+F46</f>
        <v>314</v>
      </c>
      <c r="G69" s="146"/>
    </row>
    <row r="70" spans="2:7">
      <c r="B70" s="156"/>
      <c r="C70" s="156"/>
      <c r="D70" s="156"/>
      <c r="E70" s="156"/>
      <c r="F70" s="156"/>
      <c r="G70" s="156"/>
    </row>
    <row r="71" spans="2:7">
      <c r="B71" s="156"/>
      <c r="C71" s="156"/>
      <c r="D71" s="156"/>
      <c r="E71" s="156"/>
      <c r="F71" s="156"/>
      <c r="G71" s="156"/>
    </row>
    <row r="72" spans="2:7">
      <c r="B72" s="157"/>
      <c r="C72" s="157"/>
      <c r="D72" s="158"/>
      <c r="E72" s="157"/>
      <c r="F72" s="157"/>
      <c r="G72" s="156"/>
    </row>
    <row r="73" spans="2:7">
      <c r="B73" s="240" t="s">
        <v>496</v>
      </c>
      <c r="C73" s="182"/>
      <c r="D73" s="241"/>
      <c r="E73" s="156"/>
      <c r="F73" s="156"/>
      <c r="G73" s="156"/>
    </row>
    <row r="74" spans="2:7">
      <c r="B74" s="359"/>
      <c r="C74" s="359"/>
      <c r="D74" s="359"/>
      <c r="E74" s="156"/>
      <c r="F74" s="156"/>
      <c r="G74" s="156"/>
    </row>
    <row r="75" spans="2:7">
      <c r="B75" s="182" t="s">
        <v>497</v>
      </c>
      <c r="C75" s="182"/>
      <c r="D75" s="241"/>
      <c r="E75" s="156"/>
      <c r="F75" s="156"/>
      <c r="G75" s="156"/>
    </row>
    <row r="76" spans="2:7">
      <c r="B76" s="182" t="s">
        <v>491</v>
      </c>
      <c r="C76" s="182"/>
      <c r="D76" s="241"/>
      <c r="E76" s="156"/>
      <c r="F76" s="156"/>
      <c r="G76" s="156"/>
    </row>
    <row r="77" spans="2:7">
      <c r="B77" s="182" t="s">
        <v>498</v>
      </c>
      <c r="C77" s="182"/>
      <c r="D77" s="241"/>
      <c r="E77" s="156"/>
      <c r="F77" s="156"/>
      <c r="G77" s="156"/>
    </row>
    <row r="78" spans="2:7">
      <c r="B78" s="182"/>
      <c r="C78" s="182"/>
      <c r="D78" s="241"/>
      <c r="E78" s="156"/>
      <c r="F78" s="156"/>
      <c r="G78" s="156"/>
    </row>
    <row r="79" spans="2:7">
      <c r="B79" t="s">
        <v>73</v>
      </c>
      <c r="E79" s="156"/>
      <c r="F79" s="156"/>
      <c r="G79" s="156"/>
    </row>
    <row r="80" spans="2:7">
      <c r="B80" s="182"/>
      <c r="C80" s="182"/>
      <c r="D80" s="241"/>
      <c r="E80" s="156"/>
      <c r="F80" s="156"/>
      <c r="G80" s="156"/>
    </row>
    <row r="81" spans="2:7">
      <c r="B81" s="242" t="s">
        <v>129</v>
      </c>
      <c r="C81" s="242"/>
      <c r="D81" s="159"/>
      <c r="E81" s="156"/>
      <c r="F81" s="156"/>
      <c r="G81" s="156"/>
    </row>
    <row r="82" spans="2:7">
      <c r="B82" s="156"/>
      <c r="C82" s="156"/>
      <c r="D82" s="159"/>
      <c r="E82" s="156"/>
      <c r="F82" s="156"/>
      <c r="G82" s="156"/>
    </row>
    <row r="83" spans="2:7">
      <c r="B83" s="156"/>
      <c r="C83" s="156"/>
    </row>
  </sheetData>
  <mergeCells count="36">
    <mergeCell ref="B4:G4"/>
    <mergeCell ref="B5:G5"/>
    <mergeCell ref="B6:G6"/>
    <mergeCell ref="B8:B45"/>
    <mergeCell ref="C8:C9"/>
    <mergeCell ref="C10:C11"/>
    <mergeCell ref="D10:D11"/>
    <mergeCell ref="C12:C13"/>
    <mergeCell ref="D12:D13"/>
    <mergeCell ref="C14:C15"/>
    <mergeCell ref="D14:D15"/>
    <mergeCell ref="C18:C19"/>
    <mergeCell ref="D18:D19"/>
    <mergeCell ref="C20:C21"/>
    <mergeCell ref="D20:D21"/>
    <mergeCell ref="C27:C28"/>
    <mergeCell ref="D27:D28"/>
    <mergeCell ref="C29:C31"/>
    <mergeCell ref="D29:D31"/>
    <mergeCell ref="C23:C24"/>
    <mergeCell ref="D23:D24"/>
    <mergeCell ref="C32:C33"/>
    <mergeCell ref="D32:D33"/>
    <mergeCell ref="C34:C35"/>
    <mergeCell ref="D34:D35"/>
    <mergeCell ref="C36:C38"/>
    <mergeCell ref="D36:D38"/>
    <mergeCell ref="B52:G52"/>
    <mergeCell ref="B68:G68"/>
    <mergeCell ref="B56:B60"/>
    <mergeCell ref="B74:D74"/>
    <mergeCell ref="C39:C40"/>
    <mergeCell ref="D39:D40"/>
    <mergeCell ref="C41:C43"/>
    <mergeCell ref="D41:D43"/>
    <mergeCell ref="B47:B50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F86A46-E1AD-4ADC-A978-764C6E5406B9}">
  <dimension ref="B1:P117"/>
  <sheetViews>
    <sheetView topLeftCell="A96" workbookViewId="0">
      <selection activeCell="F106" sqref="F106"/>
    </sheetView>
  </sheetViews>
  <sheetFormatPr defaultColWidth="9.109375" defaultRowHeight="14.4"/>
  <cols>
    <col min="1" max="1" width="3.44140625" customWidth="1"/>
    <col min="2" max="2" width="44" customWidth="1"/>
    <col min="3" max="3" width="33.88671875" customWidth="1"/>
    <col min="4" max="4" width="16.6640625" customWidth="1"/>
    <col min="5" max="5" width="18.33203125" customWidth="1"/>
    <col min="6" max="6" width="11.33203125" customWidth="1"/>
    <col min="7" max="7" width="49.109375" customWidth="1"/>
    <col min="8" max="8" width="16" customWidth="1"/>
    <col min="9" max="9" width="9.44140625" bestFit="1" customWidth="1"/>
  </cols>
  <sheetData>
    <row r="1" spans="2:9" ht="30" customHeight="1">
      <c r="B1" s="1" t="s">
        <v>0</v>
      </c>
    </row>
    <row r="2" spans="2:9" ht="25.5" customHeight="1">
      <c r="B2" s="1" t="s">
        <v>1</v>
      </c>
      <c r="D2" s="2"/>
      <c r="E2" s="2"/>
    </row>
    <row r="3" spans="2:9" ht="12.75" customHeight="1">
      <c r="B3" s="1"/>
      <c r="D3" s="2"/>
      <c r="E3" s="2"/>
    </row>
    <row r="4" spans="2:9" ht="32.25" customHeight="1">
      <c r="B4" s="339" t="s">
        <v>2</v>
      </c>
      <c r="C4" s="339"/>
      <c r="D4" s="339"/>
      <c r="E4" s="339"/>
      <c r="F4" s="339"/>
      <c r="G4" s="339"/>
    </row>
    <row r="5" spans="2:9" ht="31.5" customHeight="1">
      <c r="B5" s="339" t="s">
        <v>385</v>
      </c>
      <c r="C5" s="339"/>
      <c r="D5" s="339"/>
      <c r="E5" s="339"/>
      <c r="F5" s="339"/>
      <c r="G5" s="339"/>
    </row>
    <row r="6" spans="2:9" ht="26.25" customHeight="1">
      <c r="B6" s="369" t="s">
        <v>4</v>
      </c>
      <c r="C6" s="369"/>
      <c r="D6" s="369"/>
      <c r="E6" s="369"/>
      <c r="F6" s="369"/>
      <c r="G6" s="369"/>
    </row>
    <row r="7" spans="2:9" ht="97.5" customHeight="1">
      <c r="B7" s="7" t="s">
        <v>5</v>
      </c>
      <c r="C7" s="14" t="s">
        <v>6</v>
      </c>
      <c r="D7" s="14" t="s">
        <v>7</v>
      </c>
      <c r="E7" s="14" t="s">
        <v>8</v>
      </c>
      <c r="F7" s="14" t="s">
        <v>9</v>
      </c>
      <c r="G7" s="14" t="s">
        <v>10</v>
      </c>
      <c r="I7" s="194"/>
    </row>
    <row r="8" spans="2:9" ht="31.5" customHeight="1">
      <c r="B8" s="370" t="s">
        <v>301</v>
      </c>
      <c r="C8" s="6" t="s">
        <v>386</v>
      </c>
      <c r="D8" s="56">
        <v>1222.25</v>
      </c>
      <c r="E8" s="57">
        <v>5.93</v>
      </c>
      <c r="F8" s="230">
        <v>12</v>
      </c>
      <c r="G8" s="195"/>
      <c r="I8" s="196"/>
    </row>
    <row r="9" spans="2:9" ht="31.5" customHeight="1">
      <c r="B9" s="370"/>
      <c r="C9" s="6" t="s">
        <v>387</v>
      </c>
      <c r="D9" s="56">
        <v>80.349999999999994</v>
      </c>
      <c r="E9" s="57">
        <v>3.39</v>
      </c>
      <c r="F9" s="230">
        <v>4</v>
      </c>
      <c r="G9" s="197"/>
      <c r="H9" s="198"/>
      <c r="I9" s="199"/>
    </row>
    <row r="10" spans="2:9" ht="31.5" customHeight="1">
      <c r="B10" s="370"/>
      <c r="C10" s="200" t="s">
        <v>388</v>
      </c>
      <c r="D10" s="56">
        <v>399.9</v>
      </c>
      <c r="E10" s="57">
        <v>5.93</v>
      </c>
      <c r="F10" s="230">
        <v>11</v>
      </c>
      <c r="G10" s="197"/>
      <c r="H10" s="198"/>
    </row>
    <row r="11" spans="2:9" ht="31.5" customHeight="1">
      <c r="B11" s="370"/>
      <c r="C11" s="200" t="s">
        <v>389</v>
      </c>
      <c r="D11" s="56">
        <v>0</v>
      </c>
      <c r="E11" s="57">
        <v>3.39</v>
      </c>
      <c r="F11" s="230">
        <v>0</v>
      </c>
      <c r="G11" s="256" t="s">
        <v>567</v>
      </c>
      <c r="H11" s="198"/>
    </row>
    <row r="12" spans="2:9" ht="31.5" customHeight="1">
      <c r="B12" s="370"/>
      <c r="C12" s="6" t="s">
        <v>390</v>
      </c>
      <c r="D12" s="57">
        <v>1301.8499999999999</v>
      </c>
      <c r="E12" s="57">
        <v>5.93</v>
      </c>
      <c r="F12" s="16">
        <v>21</v>
      </c>
      <c r="G12" s="201"/>
      <c r="H12" s="198"/>
    </row>
    <row r="13" spans="2:9" ht="31.5" customHeight="1">
      <c r="B13" s="370"/>
      <c r="C13" s="6" t="s">
        <v>391</v>
      </c>
      <c r="D13" s="56">
        <v>0</v>
      </c>
      <c r="E13" s="57">
        <v>3.39</v>
      </c>
      <c r="F13" s="16">
        <v>0</v>
      </c>
      <c r="G13" s="256" t="s">
        <v>567</v>
      </c>
    </row>
    <row r="14" spans="2:9" ht="31.5" customHeight="1">
      <c r="B14" s="370"/>
      <c r="C14" s="6" t="s">
        <v>392</v>
      </c>
      <c r="D14" s="56">
        <v>231.74</v>
      </c>
      <c r="E14" s="57">
        <v>8.4700000000000006</v>
      </c>
      <c r="F14" s="16">
        <v>2</v>
      </c>
      <c r="G14" s="5"/>
    </row>
    <row r="15" spans="2:9" ht="31.5" customHeight="1">
      <c r="B15" s="370"/>
      <c r="C15" s="6" t="s">
        <v>393</v>
      </c>
      <c r="D15" s="56">
        <v>1619.75</v>
      </c>
      <c r="E15" s="57">
        <v>5.93</v>
      </c>
      <c r="F15" s="230">
        <v>23</v>
      </c>
      <c r="G15" s="202"/>
      <c r="H15" s="203"/>
      <c r="I15" s="204"/>
    </row>
    <row r="16" spans="2:9" ht="31.5" customHeight="1">
      <c r="B16" s="370"/>
      <c r="C16" s="6" t="s">
        <v>394</v>
      </c>
      <c r="D16" s="56">
        <v>663.53</v>
      </c>
      <c r="E16" s="57">
        <v>3.39</v>
      </c>
      <c r="F16" s="230">
        <v>8</v>
      </c>
      <c r="G16" s="205"/>
      <c r="H16" s="203"/>
      <c r="I16" s="198"/>
    </row>
    <row r="17" spans="2:9" ht="31.5" customHeight="1">
      <c r="B17" s="370"/>
      <c r="C17" s="6" t="s">
        <v>395</v>
      </c>
      <c r="D17" s="56">
        <v>787.19</v>
      </c>
      <c r="E17" s="57">
        <v>5.93</v>
      </c>
      <c r="F17" s="230">
        <v>14</v>
      </c>
      <c r="G17" s="206"/>
      <c r="H17" s="207"/>
      <c r="I17" s="204"/>
    </row>
    <row r="18" spans="2:9" ht="31.5" customHeight="1">
      <c r="B18" s="370"/>
      <c r="C18" s="6" t="s">
        <v>396</v>
      </c>
      <c r="D18" s="56">
        <v>778.16</v>
      </c>
      <c r="E18" s="57">
        <v>3.39</v>
      </c>
      <c r="F18" s="230">
        <v>24</v>
      </c>
      <c r="G18" s="142"/>
      <c r="H18" s="207"/>
      <c r="I18" s="198"/>
    </row>
    <row r="19" spans="2:9" ht="31.5" customHeight="1">
      <c r="B19" s="370"/>
      <c r="C19" s="6" t="s">
        <v>397</v>
      </c>
      <c r="D19" s="56">
        <v>1092.32</v>
      </c>
      <c r="E19" s="57">
        <v>5.93</v>
      </c>
      <c r="F19" s="230">
        <v>23</v>
      </c>
      <c r="G19" s="202"/>
      <c r="H19" s="203"/>
      <c r="I19" s="198"/>
    </row>
    <row r="20" spans="2:9" ht="36" customHeight="1">
      <c r="B20" s="370"/>
      <c r="C20" s="96" t="s">
        <v>398</v>
      </c>
      <c r="D20" s="56">
        <v>723.63</v>
      </c>
      <c r="E20" s="57">
        <v>3.39</v>
      </c>
      <c r="F20" s="230">
        <v>19</v>
      </c>
      <c r="G20" s="142"/>
      <c r="H20" s="203"/>
      <c r="I20" s="198"/>
    </row>
    <row r="21" spans="2:9" ht="48.75" customHeight="1">
      <c r="B21" s="370"/>
      <c r="C21" s="6" t="s">
        <v>399</v>
      </c>
      <c r="D21" s="56">
        <v>0</v>
      </c>
      <c r="E21" s="57">
        <v>5.93</v>
      </c>
      <c r="F21" s="230">
        <v>1</v>
      </c>
      <c r="G21" s="208"/>
      <c r="H21" s="203"/>
    </row>
    <row r="22" spans="2:9" ht="51.75" customHeight="1">
      <c r="B22" s="370"/>
      <c r="C22" s="6" t="s">
        <v>400</v>
      </c>
      <c r="D22" s="56">
        <v>49.8</v>
      </c>
      <c r="E22" s="57">
        <v>5.93</v>
      </c>
      <c r="F22" s="230">
        <v>2</v>
      </c>
      <c r="G22" s="5"/>
      <c r="H22" s="203"/>
    </row>
    <row r="23" spans="2:9" ht="39" customHeight="1">
      <c r="B23" s="370"/>
      <c r="C23" s="6" t="s">
        <v>401</v>
      </c>
      <c r="D23" s="56">
        <v>2922.41</v>
      </c>
      <c r="E23" s="57">
        <v>5.93</v>
      </c>
      <c r="F23" s="230">
        <v>14</v>
      </c>
      <c r="G23" s="209"/>
      <c r="H23" s="203"/>
      <c r="I23" s="199"/>
    </row>
    <row r="24" spans="2:9" ht="31.5" customHeight="1">
      <c r="B24" s="370"/>
      <c r="C24" s="6" t="s">
        <v>402</v>
      </c>
      <c r="D24" s="56">
        <v>0</v>
      </c>
      <c r="E24" s="57">
        <v>3.39</v>
      </c>
      <c r="F24" s="230">
        <v>0</v>
      </c>
      <c r="G24" s="256" t="s">
        <v>567</v>
      </c>
      <c r="H24" s="203"/>
    </row>
    <row r="25" spans="2:9" ht="31.5" customHeight="1">
      <c r="B25" s="370"/>
      <c r="C25" s="6" t="s">
        <v>403</v>
      </c>
      <c r="D25" s="56">
        <v>1929.31</v>
      </c>
      <c r="E25" s="57">
        <v>5.93</v>
      </c>
      <c r="F25" s="230">
        <v>8</v>
      </c>
      <c r="G25" s="201"/>
      <c r="H25" s="203"/>
    </row>
    <row r="26" spans="2:9" ht="31.5" customHeight="1">
      <c r="B26" s="370"/>
      <c r="C26" s="6" t="s">
        <v>404</v>
      </c>
      <c r="D26" s="56">
        <v>0</v>
      </c>
      <c r="E26" s="57">
        <v>3.39</v>
      </c>
      <c r="F26" s="230">
        <v>0</v>
      </c>
      <c r="G26" s="256" t="s">
        <v>567</v>
      </c>
      <c r="H26" s="203"/>
    </row>
    <row r="27" spans="2:9" ht="31.5" customHeight="1">
      <c r="B27" s="370"/>
      <c r="C27" s="6" t="s">
        <v>405</v>
      </c>
      <c r="D27" s="56">
        <v>2101.27</v>
      </c>
      <c r="E27" s="57">
        <v>5.93</v>
      </c>
      <c r="F27" s="230">
        <v>12</v>
      </c>
      <c r="G27" s="201"/>
      <c r="H27" s="203"/>
    </row>
    <row r="28" spans="2:9" ht="31.5" customHeight="1">
      <c r="B28" s="370"/>
      <c r="C28" s="6" t="s">
        <v>406</v>
      </c>
      <c r="D28" s="56">
        <v>3458.54</v>
      </c>
      <c r="E28" s="57">
        <v>3.39</v>
      </c>
      <c r="F28" s="230">
        <v>5</v>
      </c>
      <c r="G28" s="210"/>
      <c r="H28" s="203"/>
      <c r="I28" s="199"/>
    </row>
    <row r="29" spans="2:9" ht="31.5" customHeight="1">
      <c r="B29" s="370"/>
      <c r="C29" s="6" t="s">
        <v>407</v>
      </c>
      <c r="D29" s="56">
        <v>155</v>
      </c>
      <c r="E29" s="57">
        <v>5.93</v>
      </c>
      <c r="F29" s="230">
        <v>7</v>
      </c>
      <c r="G29" s="211"/>
      <c r="H29" s="203"/>
      <c r="I29" s="199"/>
    </row>
    <row r="30" spans="2:9" ht="31.5" customHeight="1">
      <c r="B30" s="370"/>
      <c r="C30" s="96" t="s">
        <v>408</v>
      </c>
      <c r="D30" s="56">
        <v>547.91999999999996</v>
      </c>
      <c r="E30" s="57">
        <v>3.39</v>
      </c>
      <c r="F30" s="230">
        <v>8</v>
      </c>
      <c r="G30" s="212"/>
      <c r="H30" s="203"/>
      <c r="I30" s="213"/>
    </row>
    <row r="31" spans="2:9" ht="31.5" customHeight="1">
      <c r="B31" s="370"/>
      <c r="C31" s="6" t="s">
        <v>409</v>
      </c>
      <c r="D31" s="57">
        <v>843.05</v>
      </c>
      <c r="E31" s="57">
        <v>5.93</v>
      </c>
      <c r="F31" s="230">
        <v>7</v>
      </c>
      <c r="G31" s="214"/>
      <c r="H31" s="203"/>
      <c r="I31" s="198"/>
    </row>
    <row r="32" spans="2:9" ht="31.5" customHeight="1">
      <c r="B32" s="370"/>
      <c r="C32" s="6" t="s">
        <v>410</v>
      </c>
      <c r="D32" s="56">
        <v>0</v>
      </c>
      <c r="E32" s="57">
        <v>3.39</v>
      </c>
      <c r="F32" s="230">
        <v>0</v>
      </c>
      <c r="G32" s="256" t="s">
        <v>567</v>
      </c>
      <c r="H32" s="203"/>
      <c r="I32" s="198"/>
    </row>
    <row r="33" spans="2:16" ht="31.5" customHeight="1">
      <c r="B33" s="370"/>
      <c r="C33" s="6" t="s">
        <v>411</v>
      </c>
      <c r="D33" s="56">
        <v>403.39</v>
      </c>
      <c r="E33" s="57">
        <v>5.93</v>
      </c>
      <c r="F33" s="230">
        <v>10</v>
      </c>
      <c r="G33" s="142"/>
      <c r="H33" s="203"/>
    </row>
    <row r="34" spans="2:16" ht="31.5" customHeight="1">
      <c r="B34" s="370"/>
      <c r="C34" s="6" t="s">
        <v>412</v>
      </c>
      <c r="D34" s="56">
        <v>726.22</v>
      </c>
      <c r="E34" s="57">
        <v>3.39</v>
      </c>
      <c r="F34" s="230">
        <v>9</v>
      </c>
      <c r="G34" s="205"/>
      <c r="H34" s="203"/>
    </row>
    <row r="35" spans="2:16" ht="31.5" customHeight="1">
      <c r="B35" s="370"/>
      <c r="C35" s="6" t="s">
        <v>413</v>
      </c>
      <c r="D35" s="226">
        <v>1009.56</v>
      </c>
      <c r="E35" s="57">
        <v>5.93</v>
      </c>
      <c r="F35" s="230">
        <v>13</v>
      </c>
      <c r="G35" s="209"/>
      <c r="H35" s="203"/>
      <c r="I35" s="199"/>
    </row>
    <row r="36" spans="2:16" ht="31.5" customHeight="1">
      <c r="B36" s="370"/>
      <c r="C36" s="6" t="s">
        <v>414</v>
      </c>
      <c r="D36" s="56">
        <v>160.26</v>
      </c>
      <c r="E36" s="57">
        <v>3.39</v>
      </c>
      <c r="F36" s="230">
        <v>7</v>
      </c>
      <c r="G36" s="205"/>
      <c r="H36" s="203"/>
    </row>
    <row r="37" spans="2:16" ht="31.5" customHeight="1">
      <c r="B37" s="370"/>
      <c r="C37" s="96" t="s">
        <v>415</v>
      </c>
      <c r="D37" s="56">
        <v>1516.22</v>
      </c>
      <c r="E37" s="57">
        <v>5.93</v>
      </c>
      <c r="F37" s="230">
        <v>14</v>
      </c>
      <c r="G37" s="205"/>
      <c r="H37" s="215"/>
      <c r="I37" s="23"/>
    </row>
    <row r="38" spans="2:16" ht="31.5" customHeight="1">
      <c r="B38" s="370"/>
      <c r="C38" s="6" t="s">
        <v>416</v>
      </c>
      <c r="D38" s="56">
        <v>0</v>
      </c>
      <c r="E38" s="57">
        <v>3.39</v>
      </c>
      <c r="F38" s="230">
        <v>0</v>
      </c>
      <c r="G38" s="256" t="s">
        <v>567</v>
      </c>
      <c r="H38" s="203"/>
    </row>
    <row r="39" spans="2:16" ht="42" customHeight="1">
      <c r="B39" s="370"/>
      <c r="C39" s="6" t="s">
        <v>417</v>
      </c>
      <c r="D39" s="56">
        <v>480.3</v>
      </c>
      <c r="E39" s="57">
        <v>5.93</v>
      </c>
      <c r="F39" s="230">
        <v>15</v>
      </c>
      <c r="G39" s="205"/>
      <c r="H39" s="203"/>
    </row>
    <row r="40" spans="2:16" ht="31.5" customHeight="1">
      <c r="B40" s="370"/>
      <c r="C40" s="6" t="s">
        <v>418</v>
      </c>
      <c r="D40" s="56">
        <v>0</v>
      </c>
      <c r="E40" s="57">
        <v>3.39</v>
      </c>
      <c r="F40" s="230">
        <v>0</v>
      </c>
      <c r="G40" s="256" t="s">
        <v>567</v>
      </c>
      <c r="H40" s="203"/>
    </row>
    <row r="41" spans="2:16" ht="31.5" customHeight="1">
      <c r="B41" s="370"/>
      <c r="C41" s="6" t="s">
        <v>419</v>
      </c>
      <c r="D41" s="226">
        <v>1321.43</v>
      </c>
      <c r="E41" s="57">
        <v>5.93</v>
      </c>
      <c r="F41" s="230">
        <v>12</v>
      </c>
      <c r="G41" s="209"/>
      <c r="H41" s="207"/>
      <c r="I41" s="199"/>
    </row>
    <row r="42" spans="2:16" ht="31.5" customHeight="1">
      <c r="B42" s="370"/>
      <c r="C42" s="6" t="s">
        <v>420</v>
      </c>
      <c r="D42" s="56">
        <v>0</v>
      </c>
      <c r="E42" s="57">
        <v>3.39</v>
      </c>
      <c r="F42" s="230">
        <v>0</v>
      </c>
      <c r="G42" s="256" t="s">
        <v>567</v>
      </c>
      <c r="H42" s="203"/>
    </row>
    <row r="43" spans="2:16" ht="31.5" customHeight="1">
      <c r="B43" s="370"/>
      <c r="C43" s="6" t="s">
        <v>421</v>
      </c>
      <c r="D43" s="56">
        <v>1372.26</v>
      </c>
      <c r="E43" s="57">
        <v>5.93</v>
      </c>
      <c r="F43" s="230">
        <v>7</v>
      </c>
      <c r="G43" s="201"/>
      <c r="H43" s="203"/>
    </row>
    <row r="44" spans="2:16" ht="31.5" customHeight="1">
      <c r="B44" s="370"/>
      <c r="C44" s="6" t="s">
        <v>422</v>
      </c>
      <c r="D44" s="56">
        <v>0</v>
      </c>
      <c r="E44" s="57">
        <v>3.39</v>
      </c>
      <c r="F44" s="230">
        <v>0</v>
      </c>
      <c r="G44" s="256" t="s">
        <v>567</v>
      </c>
      <c r="H44" s="203"/>
    </row>
    <row r="45" spans="2:16" ht="31.5" customHeight="1">
      <c r="B45" s="370"/>
      <c r="C45" s="6" t="s">
        <v>423</v>
      </c>
      <c r="D45" s="56">
        <v>317.7</v>
      </c>
      <c r="E45" s="57">
        <v>5.93</v>
      </c>
      <c r="F45" s="230">
        <v>14</v>
      </c>
      <c r="G45" s="216"/>
      <c r="H45" s="203"/>
      <c r="I45" s="199"/>
      <c r="P45" s="217"/>
    </row>
    <row r="46" spans="2:16" ht="31.5" customHeight="1">
      <c r="B46" s="370"/>
      <c r="C46" s="6" t="s">
        <v>424</v>
      </c>
      <c r="D46" s="56">
        <v>0</v>
      </c>
      <c r="E46" s="57">
        <v>3.39</v>
      </c>
      <c r="F46" s="230">
        <v>1</v>
      </c>
      <c r="G46" s="5"/>
      <c r="H46" s="203"/>
      <c r="P46" s="217"/>
    </row>
    <row r="47" spans="2:16" ht="31.5" customHeight="1">
      <c r="B47" s="370"/>
      <c r="C47" s="6" t="s">
        <v>425</v>
      </c>
      <c r="D47" s="56">
        <v>67.94</v>
      </c>
      <c r="E47" s="57">
        <v>5.93</v>
      </c>
      <c r="F47" s="230">
        <v>6</v>
      </c>
      <c r="G47" s="5"/>
      <c r="H47" s="203"/>
      <c r="P47" s="217"/>
    </row>
    <row r="48" spans="2:16" ht="31.5" customHeight="1">
      <c r="B48" s="370"/>
      <c r="C48" s="6" t="s">
        <v>426</v>
      </c>
      <c r="D48" s="56">
        <v>30.19</v>
      </c>
      <c r="E48" s="57">
        <v>3.39</v>
      </c>
      <c r="F48" s="39">
        <v>2</v>
      </c>
      <c r="G48" s="218"/>
      <c r="H48" s="203"/>
    </row>
    <row r="49" spans="2:9" ht="31.5" customHeight="1">
      <c r="B49" s="370"/>
      <c r="C49" s="96" t="s">
        <v>427</v>
      </c>
      <c r="D49" s="56">
        <v>429.64</v>
      </c>
      <c r="E49" s="57">
        <v>5.93</v>
      </c>
      <c r="F49" s="39">
        <v>13</v>
      </c>
      <c r="G49" s="219"/>
      <c r="H49" s="203"/>
      <c r="I49" s="198"/>
    </row>
    <row r="50" spans="2:9" ht="31.5" customHeight="1">
      <c r="B50" s="370"/>
      <c r="C50" s="6" t="s">
        <v>428</v>
      </c>
      <c r="D50" s="57">
        <v>780.12</v>
      </c>
      <c r="E50" s="57">
        <v>3.39</v>
      </c>
      <c r="F50" s="63">
        <v>10</v>
      </c>
      <c r="G50" s="7"/>
      <c r="H50" s="203"/>
      <c r="I50" s="198"/>
    </row>
    <row r="51" spans="2:9" ht="31.5" customHeight="1">
      <c r="B51" s="370"/>
      <c r="C51" s="6" t="s">
        <v>429</v>
      </c>
      <c r="D51" s="56">
        <v>1299.1500000000001</v>
      </c>
      <c r="E51" s="57">
        <v>5.93</v>
      </c>
      <c r="F51" s="39">
        <v>12</v>
      </c>
      <c r="G51" s="7"/>
      <c r="H51" s="203"/>
      <c r="I51" s="198"/>
    </row>
    <row r="52" spans="2:9" ht="31.5" customHeight="1">
      <c r="B52" s="370"/>
      <c r="C52" s="6" t="s">
        <v>430</v>
      </c>
      <c r="D52" s="56">
        <v>150.88</v>
      </c>
      <c r="E52" s="57">
        <v>3.39</v>
      </c>
      <c r="F52" s="39">
        <v>3</v>
      </c>
      <c r="G52" s="7"/>
      <c r="H52" s="203"/>
      <c r="I52" s="198"/>
    </row>
    <row r="53" spans="2:9" ht="31.5" customHeight="1">
      <c r="B53" s="370"/>
      <c r="C53" s="6" t="s">
        <v>431</v>
      </c>
      <c r="D53" s="226">
        <v>998.2</v>
      </c>
      <c r="E53" s="57">
        <v>5.93</v>
      </c>
      <c r="F53" s="231">
        <v>15</v>
      </c>
      <c r="G53" s="220"/>
      <c r="H53" s="203"/>
      <c r="I53" s="198"/>
    </row>
    <row r="54" spans="2:9" ht="31.5" customHeight="1">
      <c r="B54" s="370"/>
      <c r="C54" s="6" t="s">
        <v>432</v>
      </c>
      <c r="D54" s="56">
        <v>639.6</v>
      </c>
      <c r="E54" s="57">
        <v>3.39</v>
      </c>
      <c r="F54" s="39">
        <v>8</v>
      </c>
      <c r="G54" s="221"/>
      <c r="H54" s="203"/>
      <c r="I54" s="198"/>
    </row>
    <row r="55" spans="2:9" ht="31.5" customHeight="1">
      <c r="B55" s="370"/>
      <c r="C55" s="6" t="s">
        <v>433</v>
      </c>
      <c r="D55" s="56">
        <v>280.14999999999998</v>
      </c>
      <c r="E55" s="57">
        <v>8.4700000000000006</v>
      </c>
      <c r="F55" s="39">
        <v>1</v>
      </c>
      <c r="G55" s="7"/>
      <c r="H55" s="203"/>
    </row>
    <row r="56" spans="2:9" ht="63" customHeight="1">
      <c r="B56" s="12" t="s">
        <v>52</v>
      </c>
      <c r="C56" s="12"/>
      <c r="D56" s="82">
        <f>SUM(D8:D55)</f>
        <v>32891.179999999993</v>
      </c>
      <c r="E56" s="82">
        <f>SUM(E8:E55)</f>
        <v>233.83999999999989</v>
      </c>
      <c r="F56" s="85">
        <f>SUM(F8:F55)</f>
        <v>397</v>
      </c>
      <c r="G56" s="222" t="s">
        <v>434</v>
      </c>
      <c r="H56" s="207"/>
    </row>
    <row r="57" spans="2:9" ht="37.5" customHeight="1">
      <c r="B57" s="371" t="s">
        <v>53</v>
      </c>
      <c r="C57" s="6" t="s">
        <v>435</v>
      </c>
      <c r="D57" s="227">
        <v>0</v>
      </c>
      <c r="E57" s="228">
        <v>0</v>
      </c>
      <c r="F57" s="224">
        <v>29</v>
      </c>
      <c r="G57" s="222"/>
      <c r="H57" s="203"/>
    </row>
    <row r="58" spans="2:9" ht="41.4">
      <c r="B58" s="371"/>
      <c r="C58" s="6" t="s">
        <v>436</v>
      </c>
      <c r="D58" s="81">
        <v>0</v>
      </c>
      <c r="E58" s="228">
        <v>1.22</v>
      </c>
      <c r="F58" s="225">
        <v>0</v>
      </c>
      <c r="G58" s="222" t="s">
        <v>437</v>
      </c>
      <c r="H58" s="203"/>
    </row>
    <row r="59" spans="2:9" ht="41.4">
      <c r="B59" s="371"/>
      <c r="C59" s="6" t="s">
        <v>438</v>
      </c>
      <c r="D59" s="81">
        <v>681.66</v>
      </c>
      <c r="E59" s="228">
        <v>4.96</v>
      </c>
      <c r="F59" s="225">
        <v>6</v>
      </c>
      <c r="G59" s="222" t="s">
        <v>439</v>
      </c>
      <c r="H59" s="203"/>
    </row>
    <row r="60" spans="2:9" ht="39.75" customHeight="1">
      <c r="B60" s="371"/>
      <c r="C60" s="6" t="s">
        <v>440</v>
      </c>
      <c r="D60" s="227">
        <v>0</v>
      </c>
      <c r="E60" s="228">
        <v>0</v>
      </c>
      <c r="F60" s="225">
        <v>2</v>
      </c>
      <c r="G60" s="222"/>
      <c r="H60" s="203"/>
    </row>
    <row r="61" spans="2:9" ht="41.4">
      <c r="B61" s="371"/>
      <c r="C61" s="6" t="s">
        <v>441</v>
      </c>
      <c r="D61" s="227">
        <v>0</v>
      </c>
      <c r="E61" s="228">
        <v>1.22</v>
      </c>
      <c r="F61" s="225">
        <v>0</v>
      </c>
      <c r="G61" s="222" t="s">
        <v>437</v>
      </c>
      <c r="H61" s="203"/>
    </row>
    <row r="62" spans="2:9" ht="53.25" customHeight="1">
      <c r="B62" s="371"/>
      <c r="C62" s="6" t="s">
        <v>442</v>
      </c>
      <c r="D62" s="56">
        <v>711.42</v>
      </c>
      <c r="E62" s="228">
        <v>4.96</v>
      </c>
      <c r="F62" s="225">
        <v>2</v>
      </c>
      <c r="G62" s="222" t="s">
        <v>439</v>
      </c>
      <c r="H62" s="203"/>
    </row>
    <row r="63" spans="2:9" ht="53.25" customHeight="1">
      <c r="B63" s="371"/>
      <c r="C63" s="6" t="s">
        <v>443</v>
      </c>
      <c r="D63" s="227">
        <v>0</v>
      </c>
      <c r="E63" s="228">
        <v>0</v>
      </c>
      <c r="F63" s="225">
        <v>2</v>
      </c>
      <c r="G63" s="222"/>
      <c r="H63" s="203"/>
    </row>
    <row r="64" spans="2:9" ht="57.6" customHeight="1">
      <c r="B64" s="371"/>
      <c r="C64" s="6" t="s">
        <v>444</v>
      </c>
      <c r="D64" s="227">
        <v>0</v>
      </c>
      <c r="E64" s="228">
        <v>1.22</v>
      </c>
      <c r="F64" s="225">
        <v>0</v>
      </c>
      <c r="G64" s="222" t="s">
        <v>437</v>
      </c>
      <c r="H64" s="203"/>
    </row>
    <row r="65" spans="2:8" ht="41.4">
      <c r="B65" s="371"/>
      <c r="C65" s="6" t="s">
        <v>445</v>
      </c>
      <c r="D65" s="81">
        <v>37.18</v>
      </c>
      <c r="E65" s="228">
        <v>4.96</v>
      </c>
      <c r="F65" s="225">
        <v>1</v>
      </c>
      <c r="G65" s="222" t="s">
        <v>439</v>
      </c>
      <c r="H65" s="203"/>
    </row>
    <row r="66" spans="2:8" ht="42.75" customHeight="1">
      <c r="B66" s="371"/>
      <c r="C66" s="6" t="s">
        <v>446</v>
      </c>
      <c r="D66" s="56">
        <v>185.9</v>
      </c>
      <c r="E66" s="228">
        <v>4.96</v>
      </c>
      <c r="F66" s="225">
        <v>5</v>
      </c>
      <c r="G66" s="222" t="s">
        <v>439</v>
      </c>
      <c r="H66" s="203"/>
    </row>
    <row r="67" spans="2:8" ht="42.75" customHeight="1">
      <c r="B67" s="371"/>
      <c r="C67" s="6" t="s">
        <v>447</v>
      </c>
      <c r="D67" s="56">
        <v>0</v>
      </c>
      <c r="E67" s="228">
        <v>0</v>
      </c>
      <c r="F67" s="232">
        <v>22</v>
      </c>
      <c r="G67" s="8"/>
      <c r="H67" s="203"/>
    </row>
    <row r="68" spans="2:8" ht="42.75" customHeight="1">
      <c r="B68" s="371"/>
      <c r="C68" s="6" t="s">
        <v>448</v>
      </c>
      <c r="D68" s="56">
        <v>205.79</v>
      </c>
      <c r="E68" s="228">
        <v>0.99</v>
      </c>
      <c r="F68" s="39">
        <v>5</v>
      </c>
      <c r="G68" s="222" t="s">
        <v>449</v>
      </c>
      <c r="H68" s="203"/>
    </row>
    <row r="69" spans="2:8" ht="42.75" customHeight="1">
      <c r="B69" s="371"/>
      <c r="C69" s="6" t="s">
        <v>450</v>
      </c>
      <c r="D69" s="56">
        <v>0</v>
      </c>
      <c r="E69" s="228">
        <v>3.72</v>
      </c>
      <c r="F69" s="39">
        <v>0</v>
      </c>
      <c r="G69" s="222" t="s">
        <v>451</v>
      </c>
      <c r="H69" s="203"/>
    </row>
    <row r="70" spans="2:8" ht="42.75" customHeight="1">
      <c r="B70" s="371"/>
      <c r="C70" s="6" t="s">
        <v>452</v>
      </c>
      <c r="D70" s="56">
        <v>0</v>
      </c>
      <c r="E70" s="228">
        <v>11.16</v>
      </c>
      <c r="F70" s="39">
        <v>0</v>
      </c>
      <c r="G70" s="222" t="s">
        <v>453</v>
      </c>
      <c r="H70" s="203"/>
    </row>
    <row r="71" spans="2:8" ht="42.75" customHeight="1">
      <c r="B71" s="371"/>
      <c r="C71" s="6" t="s">
        <v>454</v>
      </c>
      <c r="D71" s="56">
        <v>0</v>
      </c>
      <c r="E71" s="228">
        <v>0</v>
      </c>
      <c r="F71" s="233">
        <v>10</v>
      </c>
      <c r="G71" s="8"/>
      <c r="H71" s="203"/>
    </row>
    <row r="72" spans="2:8" ht="42.75" customHeight="1">
      <c r="B72" s="371"/>
      <c r="C72" s="6" t="s">
        <v>455</v>
      </c>
      <c r="D72" s="56">
        <v>0</v>
      </c>
      <c r="E72" s="228">
        <v>0.68</v>
      </c>
      <c r="F72" s="233">
        <v>0</v>
      </c>
      <c r="G72" s="222" t="s">
        <v>456</v>
      </c>
      <c r="H72" s="203"/>
    </row>
    <row r="73" spans="2:8" ht="42.75" customHeight="1">
      <c r="B73" s="371"/>
      <c r="C73" s="6" t="s">
        <v>457</v>
      </c>
      <c r="D73" s="56">
        <v>0</v>
      </c>
      <c r="E73" s="228">
        <v>2.48</v>
      </c>
      <c r="F73" s="233">
        <v>0</v>
      </c>
      <c r="G73" s="222" t="s">
        <v>458</v>
      </c>
      <c r="H73" s="203"/>
    </row>
    <row r="74" spans="2:8" ht="42.75" customHeight="1">
      <c r="B74" s="371"/>
      <c r="C74" s="6" t="s">
        <v>459</v>
      </c>
      <c r="D74" s="56">
        <v>0</v>
      </c>
      <c r="E74" s="228">
        <v>7.44</v>
      </c>
      <c r="F74" s="233">
        <v>0</v>
      </c>
      <c r="G74" s="222" t="s">
        <v>460</v>
      </c>
      <c r="H74" s="203"/>
    </row>
    <row r="75" spans="2:8" ht="42.75" customHeight="1">
      <c r="B75" s="371"/>
      <c r="C75" s="6" t="s">
        <v>461</v>
      </c>
      <c r="D75" s="56">
        <v>0</v>
      </c>
      <c r="E75" s="228">
        <v>0</v>
      </c>
      <c r="F75" s="233">
        <v>6</v>
      </c>
      <c r="G75" s="8"/>
      <c r="H75" s="203"/>
    </row>
    <row r="76" spans="2:8" ht="28.8">
      <c r="B76" s="371"/>
      <c r="C76" s="6" t="s">
        <v>462</v>
      </c>
      <c r="D76" s="56">
        <v>0</v>
      </c>
      <c r="E76" s="228">
        <v>0.68</v>
      </c>
      <c r="F76" s="39">
        <v>0</v>
      </c>
      <c r="G76" s="222" t="s">
        <v>456</v>
      </c>
      <c r="H76" s="203"/>
    </row>
    <row r="77" spans="2:8" ht="43.95" customHeight="1">
      <c r="B77" s="371"/>
      <c r="C77" s="6" t="s">
        <v>463</v>
      </c>
      <c r="D77" s="56">
        <v>0</v>
      </c>
      <c r="E77" s="228">
        <v>2.48</v>
      </c>
      <c r="F77" s="39">
        <v>0</v>
      </c>
      <c r="G77" s="222" t="s">
        <v>458</v>
      </c>
      <c r="H77" s="203"/>
    </row>
    <row r="78" spans="2:8" ht="47.25" customHeight="1">
      <c r="B78" s="371"/>
      <c r="C78" s="6" t="s">
        <v>464</v>
      </c>
      <c r="D78" s="56">
        <v>0</v>
      </c>
      <c r="E78" s="228">
        <v>7.44</v>
      </c>
      <c r="F78" s="39">
        <v>0</v>
      </c>
      <c r="G78" s="222" t="s">
        <v>460</v>
      </c>
      <c r="H78" s="203"/>
    </row>
    <row r="79" spans="2:8" ht="33" customHeight="1">
      <c r="B79" s="12" t="s">
        <v>52</v>
      </c>
      <c r="C79" s="12"/>
      <c r="D79" s="82">
        <f>SUM(D57:D78)</f>
        <v>1821.95</v>
      </c>
      <c r="E79" s="82">
        <f>SUM(E57:E78)</f>
        <v>60.569999999999986</v>
      </c>
      <c r="F79" s="85">
        <f>SUM(F57:F78)</f>
        <v>90</v>
      </c>
      <c r="G79" s="8"/>
      <c r="H79" s="203"/>
    </row>
    <row r="80" spans="2:8" ht="24.75" customHeight="1">
      <c r="B80" s="368" t="s">
        <v>56</v>
      </c>
      <c r="C80" s="368"/>
      <c r="D80" s="368"/>
      <c r="E80" s="368"/>
      <c r="F80" s="368"/>
      <c r="G80" s="368"/>
      <c r="H80" s="203"/>
    </row>
    <row r="81" spans="2:8" ht="53.25" customHeight="1">
      <c r="B81" s="4" t="s">
        <v>5</v>
      </c>
      <c r="C81" s="4" t="s">
        <v>57</v>
      </c>
      <c r="D81" s="4" t="s">
        <v>7</v>
      </c>
      <c r="E81" s="4" t="s">
        <v>58</v>
      </c>
      <c r="F81" s="4" t="s">
        <v>9</v>
      </c>
      <c r="G81" s="5" t="s">
        <v>59</v>
      </c>
      <c r="H81" s="203"/>
    </row>
    <row r="82" spans="2:8" ht="28.8">
      <c r="B82" s="73" t="s">
        <v>60</v>
      </c>
      <c r="C82" s="15"/>
      <c r="D82" s="56">
        <v>0</v>
      </c>
      <c r="E82" s="56">
        <v>0</v>
      </c>
      <c r="F82" s="39">
        <v>0</v>
      </c>
      <c r="G82" s="10"/>
      <c r="H82" s="203"/>
    </row>
    <row r="83" spans="2:8" ht="25.2" customHeight="1">
      <c r="B83" s="18" t="s">
        <v>52</v>
      </c>
      <c r="C83" s="26"/>
      <c r="D83" s="165">
        <f>SUM(D82)</f>
        <v>0</v>
      </c>
      <c r="E83" s="165">
        <f>SUM(E82)</f>
        <v>0</v>
      </c>
      <c r="F83" s="153">
        <f>SUM(F82)</f>
        <v>0</v>
      </c>
      <c r="G83" s="10"/>
      <c r="H83" s="203"/>
    </row>
    <row r="84" spans="2:8" ht="50.4" customHeight="1">
      <c r="B84" s="372" t="s">
        <v>61</v>
      </c>
      <c r="C84" s="6" t="s">
        <v>465</v>
      </c>
      <c r="D84" s="56">
        <v>5514</v>
      </c>
      <c r="E84" s="56">
        <v>5540</v>
      </c>
      <c r="F84" s="39">
        <v>101</v>
      </c>
      <c r="G84" s="10"/>
      <c r="H84" s="203"/>
    </row>
    <row r="85" spans="2:8" ht="43.2">
      <c r="B85" s="372"/>
      <c r="C85" s="6" t="s">
        <v>466</v>
      </c>
      <c r="D85" s="56">
        <v>3625</v>
      </c>
      <c r="E85" s="56">
        <v>3600</v>
      </c>
      <c r="F85" s="39">
        <v>66</v>
      </c>
      <c r="G85" s="6" t="s">
        <v>573</v>
      </c>
      <c r="H85" s="203"/>
    </row>
    <row r="86" spans="2:8" ht="24" customHeight="1">
      <c r="B86" s="18" t="s">
        <v>52</v>
      </c>
      <c r="C86" s="26"/>
      <c r="D86" s="82">
        <f>SUM(D84:D85)</f>
        <v>9139</v>
      </c>
      <c r="E86" s="82">
        <f>SUM(E84:E85)</f>
        <v>9140</v>
      </c>
      <c r="F86" s="85">
        <f>SUM(F84:F85)</f>
        <v>167</v>
      </c>
      <c r="G86" s="10"/>
      <c r="H86" s="203"/>
    </row>
    <row r="87" spans="2:8" ht="54" customHeight="1">
      <c r="B87" s="373" t="s">
        <v>63</v>
      </c>
      <c r="C87" s="223" t="s">
        <v>467</v>
      </c>
      <c r="D87" s="56">
        <v>249.98</v>
      </c>
      <c r="E87" s="56">
        <v>302.38</v>
      </c>
      <c r="F87" s="39">
        <v>1</v>
      </c>
      <c r="G87" s="6" t="s">
        <v>468</v>
      </c>
      <c r="H87" s="203"/>
    </row>
    <row r="88" spans="2:8" ht="43.2">
      <c r="B88" s="373"/>
      <c r="C88" s="223" t="s">
        <v>469</v>
      </c>
      <c r="D88" s="56">
        <v>0</v>
      </c>
      <c r="E88" s="56">
        <v>354.13</v>
      </c>
      <c r="F88" s="39">
        <v>1</v>
      </c>
      <c r="G88" s="6" t="s">
        <v>468</v>
      </c>
      <c r="H88" s="203"/>
    </row>
    <row r="89" spans="2:8" ht="43.2">
      <c r="B89" s="373"/>
      <c r="C89" s="223" t="s">
        <v>470</v>
      </c>
      <c r="D89" s="56">
        <v>0</v>
      </c>
      <c r="E89" s="56">
        <v>18331.12</v>
      </c>
      <c r="F89" s="39">
        <v>1</v>
      </c>
      <c r="G89" s="6" t="s">
        <v>468</v>
      </c>
      <c r="H89" s="203"/>
    </row>
    <row r="90" spans="2:8" ht="24.6" customHeight="1">
      <c r="B90" s="18" t="s">
        <v>52</v>
      </c>
      <c r="C90" s="26"/>
      <c r="D90" s="82">
        <f>SUM(D87:D89)</f>
        <v>249.98</v>
      </c>
      <c r="E90" s="82">
        <f>SUM(E87:E89)</f>
        <v>18987.629999999997</v>
      </c>
      <c r="F90" s="85">
        <f>SUM(F87:F89)</f>
        <v>3</v>
      </c>
      <c r="G90" s="10"/>
      <c r="H90" s="203"/>
    </row>
    <row r="91" spans="2:8" ht="60" customHeight="1">
      <c r="B91" s="373" t="s">
        <v>64</v>
      </c>
      <c r="C91" s="200" t="s">
        <v>471</v>
      </c>
      <c r="D91" s="56">
        <v>0</v>
      </c>
      <c r="E91" s="56">
        <v>798.75</v>
      </c>
      <c r="F91" s="86">
        <v>1</v>
      </c>
      <c r="G91" s="6" t="s">
        <v>574</v>
      </c>
      <c r="H91" s="203"/>
    </row>
    <row r="92" spans="2:8" ht="45" customHeight="1">
      <c r="B92" s="373"/>
      <c r="C92" s="6" t="s">
        <v>472</v>
      </c>
      <c r="D92" s="56">
        <v>0</v>
      </c>
      <c r="E92" s="56">
        <v>6800</v>
      </c>
      <c r="F92" s="86">
        <v>1</v>
      </c>
      <c r="G92" s="6" t="s">
        <v>473</v>
      </c>
    </row>
    <row r="93" spans="2:8" ht="63.6" customHeight="1">
      <c r="B93" s="373"/>
      <c r="C93" s="6" t="s">
        <v>474</v>
      </c>
      <c r="D93" s="97">
        <v>1582</v>
      </c>
      <c r="E93" s="56">
        <v>7910</v>
      </c>
      <c r="F93" s="86">
        <v>1</v>
      </c>
      <c r="G93" s="74" t="s">
        <v>475</v>
      </c>
    </row>
    <row r="94" spans="2:8" ht="45" customHeight="1">
      <c r="B94" s="373"/>
      <c r="C94" s="6" t="s">
        <v>476</v>
      </c>
      <c r="D94" s="56">
        <v>0</v>
      </c>
      <c r="E94" s="56">
        <v>3450</v>
      </c>
      <c r="F94" s="86">
        <v>1</v>
      </c>
      <c r="G94" s="6" t="s">
        <v>473</v>
      </c>
    </row>
    <row r="95" spans="2:8" ht="45" customHeight="1">
      <c r="B95" s="373"/>
      <c r="C95" s="200" t="s">
        <v>477</v>
      </c>
      <c r="D95" s="56">
        <v>0</v>
      </c>
      <c r="E95" s="56">
        <v>0</v>
      </c>
      <c r="F95" s="86">
        <v>1</v>
      </c>
      <c r="G95" s="6" t="s">
        <v>473</v>
      </c>
    </row>
    <row r="96" spans="2:8" ht="54" customHeight="1">
      <c r="B96" s="373"/>
      <c r="C96" s="6" t="s">
        <v>478</v>
      </c>
      <c r="D96" s="56">
        <v>0</v>
      </c>
      <c r="E96" s="56">
        <v>0</v>
      </c>
      <c r="F96" s="86">
        <v>1</v>
      </c>
      <c r="G96" s="6" t="s">
        <v>479</v>
      </c>
    </row>
    <row r="97" spans="2:7" ht="28.2" customHeight="1">
      <c r="B97" s="373"/>
      <c r="C97" s="6" t="s">
        <v>480</v>
      </c>
      <c r="D97" s="56">
        <v>0</v>
      </c>
      <c r="E97" s="56" t="s">
        <v>481</v>
      </c>
      <c r="F97" s="86">
        <v>1</v>
      </c>
      <c r="G97" s="6" t="s">
        <v>482</v>
      </c>
    </row>
    <row r="98" spans="2:7" ht="57" customHeight="1">
      <c r="B98" s="373"/>
      <c r="C98" s="6" t="s">
        <v>483</v>
      </c>
      <c r="D98" s="56">
        <v>0</v>
      </c>
      <c r="E98" s="56">
        <v>0</v>
      </c>
      <c r="F98" s="86">
        <v>1</v>
      </c>
      <c r="G98" s="6" t="s">
        <v>479</v>
      </c>
    </row>
    <row r="99" spans="2:7" ht="45" customHeight="1">
      <c r="B99" s="373"/>
      <c r="C99" s="6" t="s">
        <v>484</v>
      </c>
      <c r="D99" s="56">
        <v>0</v>
      </c>
      <c r="E99" s="56">
        <v>1207</v>
      </c>
      <c r="F99" s="86">
        <v>1</v>
      </c>
      <c r="G99" s="6" t="s">
        <v>485</v>
      </c>
    </row>
    <row r="100" spans="2:7" ht="16.5" customHeight="1">
      <c r="B100" s="373"/>
      <c r="C100" s="6" t="s">
        <v>486</v>
      </c>
      <c r="D100" s="56">
        <v>0</v>
      </c>
      <c r="E100" s="56">
        <v>0</v>
      </c>
      <c r="F100" s="86">
        <v>1</v>
      </c>
      <c r="G100" s="6" t="s">
        <v>479</v>
      </c>
    </row>
    <row r="101" spans="2:7" ht="43.2" customHeight="1">
      <c r="B101" s="373"/>
      <c r="C101" s="6" t="s">
        <v>487</v>
      </c>
      <c r="D101" s="57">
        <v>1818.75</v>
      </c>
      <c r="E101" s="57">
        <v>1818.75</v>
      </c>
      <c r="F101" s="234">
        <v>1</v>
      </c>
      <c r="G101" s="200"/>
    </row>
    <row r="102" spans="2:7" ht="27" customHeight="1">
      <c r="B102" s="18" t="s">
        <v>52</v>
      </c>
      <c r="C102" s="19"/>
      <c r="D102" s="82">
        <f>SUM(D91:D101)</f>
        <v>3400.75</v>
      </c>
      <c r="E102" s="82">
        <f>SUM(E91:E101)</f>
        <v>21984.5</v>
      </c>
      <c r="F102" s="85">
        <f>SUM(F91:F101)</f>
        <v>11</v>
      </c>
      <c r="G102" s="10"/>
    </row>
    <row r="103" spans="2:7" ht="35.25" customHeight="1">
      <c r="B103" s="73" t="s">
        <v>124</v>
      </c>
      <c r="C103" s="79"/>
      <c r="D103" s="229">
        <v>0</v>
      </c>
      <c r="E103" s="229">
        <v>0</v>
      </c>
      <c r="F103" s="86">
        <v>0</v>
      </c>
      <c r="G103" s="10"/>
    </row>
    <row r="104" spans="2:7" ht="35.25" customHeight="1">
      <c r="B104" s="18" t="s">
        <v>52</v>
      </c>
      <c r="C104" s="79"/>
      <c r="D104" s="165">
        <f>SUM(D103)</f>
        <v>0</v>
      </c>
      <c r="E104" s="165">
        <f>SUM(E103)</f>
        <v>0</v>
      </c>
      <c r="F104" s="153">
        <f>SUM(F103)</f>
        <v>0</v>
      </c>
      <c r="G104" s="10"/>
    </row>
    <row r="105" spans="2:7" ht="18.600000000000001" customHeight="1">
      <c r="B105" s="341"/>
      <c r="C105" s="341"/>
      <c r="D105" s="341"/>
      <c r="E105" s="341"/>
      <c r="F105" s="341"/>
      <c r="G105" s="341"/>
    </row>
    <row r="106" spans="2:7" ht="33.6" customHeight="1">
      <c r="B106" s="52" t="s">
        <v>125</v>
      </c>
      <c r="C106" s="19"/>
      <c r="D106" s="235">
        <f>D104+D102+D90+D86+D83+D79+D56</f>
        <v>47502.859999999993</v>
      </c>
      <c r="E106" s="235">
        <f>E104+E102+E90+E86+E83+E79+E56</f>
        <v>50406.539999999994</v>
      </c>
      <c r="F106" s="236">
        <f>F104+F102+F90+F86+F83+F79+F56</f>
        <v>668</v>
      </c>
      <c r="G106" s="10"/>
    </row>
    <row r="107" spans="2:7">
      <c r="B107" s="28"/>
      <c r="C107" s="29"/>
      <c r="D107" s="29"/>
      <c r="E107" s="29"/>
      <c r="F107" s="29"/>
    </row>
    <row r="108" spans="2:7">
      <c r="B108" s="28"/>
      <c r="C108" s="29"/>
      <c r="D108" s="29"/>
      <c r="E108" s="29"/>
      <c r="F108" s="29"/>
    </row>
    <row r="109" spans="2:7">
      <c r="B109" s="243" t="s">
        <v>492</v>
      </c>
    </row>
    <row r="110" spans="2:7">
      <c r="B110" s="28"/>
    </row>
    <row r="111" spans="2:7">
      <c r="B111" s="374" t="s">
        <v>488</v>
      </c>
      <c r="C111" s="374"/>
      <c r="D111" s="374"/>
      <c r="E111" s="374"/>
      <c r="F111" s="374"/>
      <c r="G111" s="374"/>
    </row>
    <row r="112" spans="2:7">
      <c r="B112" s="374" t="s">
        <v>489</v>
      </c>
      <c r="C112" s="374"/>
      <c r="D112" s="374"/>
      <c r="E112" s="374"/>
    </row>
    <row r="113" spans="2:7">
      <c r="B113" s="374" t="s">
        <v>490</v>
      </c>
      <c r="C113" s="374"/>
      <c r="D113" s="374"/>
      <c r="E113" s="374"/>
    </row>
    <row r="114" spans="2:7">
      <c r="B114" s="374"/>
      <c r="C114" s="374"/>
      <c r="D114" s="374"/>
      <c r="E114" s="374"/>
      <c r="F114" s="374"/>
      <c r="G114" s="374"/>
    </row>
    <row r="115" spans="2:7">
      <c r="B115" s="67" t="s">
        <v>129</v>
      </c>
    </row>
    <row r="116" spans="2:7" ht="15.75" customHeight="1"/>
    <row r="117" spans="2:7">
      <c r="B117" s="307"/>
      <c r="C117" s="307"/>
    </row>
  </sheetData>
  <mergeCells count="17">
    <mergeCell ref="B113:E113"/>
    <mergeCell ref="B114:E114"/>
    <mergeCell ref="F114:G114"/>
    <mergeCell ref="B117:C117"/>
    <mergeCell ref="B105:G105"/>
    <mergeCell ref="B112:E112"/>
    <mergeCell ref="B84:B85"/>
    <mergeCell ref="B87:B89"/>
    <mergeCell ref="B91:B101"/>
    <mergeCell ref="B111:E111"/>
    <mergeCell ref="F111:G111"/>
    <mergeCell ref="B80:G80"/>
    <mergeCell ref="B4:G4"/>
    <mergeCell ref="B5:G5"/>
    <mergeCell ref="B6:G6"/>
    <mergeCell ref="B8:B55"/>
    <mergeCell ref="B57:B7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580CA8-39B4-4353-A83E-5B977AAF18AA}">
  <dimension ref="B1:J96"/>
  <sheetViews>
    <sheetView tabSelected="1" topLeftCell="A80" workbookViewId="0">
      <selection activeCell="G63" sqref="G63:G65"/>
    </sheetView>
  </sheetViews>
  <sheetFormatPr defaultColWidth="9.109375" defaultRowHeight="14.4"/>
  <cols>
    <col min="1" max="1" width="3.44140625" style="13" customWidth="1"/>
    <col min="2" max="2" width="45.109375" style="13" customWidth="1"/>
    <col min="3" max="3" width="31.88671875" style="13" customWidth="1"/>
    <col min="4" max="4" width="16.6640625" style="13" customWidth="1"/>
    <col min="5" max="5" width="24.88671875" style="13" customWidth="1"/>
    <col min="6" max="6" width="15.33203125" style="13" customWidth="1"/>
    <col min="7" max="7" width="34.44140625" style="13" customWidth="1"/>
    <col min="8" max="8" width="9.109375" style="13"/>
    <col min="9" max="9" width="12" style="13" bestFit="1" customWidth="1"/>
    <col min="10" max="16384" width="9.109375" style="13"/>
  </cols>
  <sheetData>
    <row r="1" spans="2:7" ht="30" customHeight="1">
      <c r="B1" s="258" t="s">
        <v>0</v>
      </c>
    </row>
    <row r="2" spans="2:7" ht="25.5" customHeight="1">
      <c r="B2" s="258" t="s">
        <v>1</v>
      </c>
      <c r="D2" s="119"/>
      <c r="E2" s="119"/>
    </row>
    <row r="3" spans="2:7" ht="12.75" customHeight="1">
      <c r="B3" s="258"/>
      <c r="D3" s="119"/>
      <c r="E3" s="119"/>
    </row>
    <row r="4" spans="2:7" ht="32.25" customHeight="1">
      <c r="B4" s="347" t="s">
        <v>132</v>
      </c>
      <c r="C4" s="347"/>
      <c r="D4" s="347"/>
      <c r="E4" s="347"/>
      <c r="F4" s="347"/>
      <c r="G4" s="347"/>
    </row>
    <row r="5" spans="2:7" ht="31.5" customHeight="1">
      <c r="B5" s="339" t="s">
        <v>576</v>
      </c>
      <c r="C5" s="339"/>
      <c r="D5" s="339"/>
      <c r="E5" s="339"/>
      <c r="F5" s="339"/>
      <c r="G5" s="339"/>
    </row>
    <row r="6" spans="2:7" ht="26.25" customHeight="1">
      <c r="B6" s="348" t="s">
        <v>4</v>
      </c>
      <c r="C6" s="348"/>
      <c r="D6" s="348"/>
      <c r="E6" s="348"/>
      <c r="F6" s="348"/>
      <c r="G6" s="348"/>
    </row>
    <row r="7" spans="2:7" ht="63.75" customHeight="1">
      <c r="B7" s="36" t="s">
        <v>5</v>
      </c>
      <c r="C7" s="37" t="s">
        <v>57</v>
      </c>
      <c r="D7" s="37" t="s">
        <v>7</v>
      </c>
      <c r="E7" s="37" t="s">
        <v>8</v>
      </c>
      <c r="F7" s="37" t="s">
        <v>9</v>
      </c>
      <c r="G7" s="37" t="s">
        <v>10</v>
      </c>
    </row>
    <row r="8" spans="2:7" ht="30" customHeight="1">
      <c r="B8" s="370" t="s">
        <v>301</v>
      </c>
      <c r="C8" s="259" t="s">
        <v>577</v>
      </c>
      <c r="D8" s="56">
        <f>102.6+239.4+1230.08+453.6+198.45+1732.5+4070.25+288.9+85.05+756.68+205.2</f>
        <v>9362.7099999999991</v>
      </c>
      <c r="E8" s="56">
        <v>4.5</v>
      </c>
      <c r="F8" s="281">
        <v>10</v>
      </c>
      <c r="G8" s="40"/>
    </row>
    <row r="9" spans="2:7" ht="30" customHeight="1">
      <c r="B9" s="380"/>
      <c r="C9" s="259" t="s">
        <v>578</v>
      </c>
      <c r="D9" s="56">
        <v>0</v>
      </c>
      <c r="E9" s="56">
        <v>1.05</v>
      </c>
      <c r="F9" s="281">
        <v>0</v>
      </c>
      <c r="G9" s="394" t="s">
        <v>567</v>
      </c>
    </row>
    <row r="10" spans="2:7" ht="30" customHeight="1">
      <c r="B10" s="380"/>
      <c r="C10" s="259" t="s">
        <v>579</v>
      </c>
      <c r="D10" s="56">
        <v>243.6</v>
      </c>
      <c r="E10" s="56">
        <v>6</v>
      </c>
      <c r="F10" s="281">
        <v>1</v>
      </c>
      <c r="G10" s="120"/>
    </row>
    <row r="11" spans="2:7" ht="30" customHeight="1">
      <c r="B11" s="380"/>
      <c r="C11" s="259" t="s">
        <v>580</v>
      </c>
      <c r="D11" s="56">
        <f>179.55+992.25+138.6+302.4+209.25+167.4+448.2</f>
        <v>2437.6499999999996</v>
      </c>
      <c r="E11" s="56">
        <v>4.5</v>
      </c>
      <c r="F11" s="281">
        <v>7</v>
      </c>
      <c r="G11" s="40"/>
    </row>
    <row r="12" spans="2:7" ht="30" customHeight="1">
      <c r="B12" s="380"/>
      <c r="C12" s="259" t="s">
        <v>581</v>
      </c>
      <c r="D12" s="56">
        <f>63+28.8</f>
        <v>91.8</v>
      </c>
      <c r="E12" s="56">
        <v>3</v>
      </c>
      <c r="F12" s="281">
        <v>2</v>
      </c>
      <c r="G12" s="40"/>
    </row>
    <row r="13" spans="2:7" ht="30" customHeight="1">
      <c r="B13" s="380"/>
      <c r="C13" s="259" t="s">
        <v>582</v>
      </c>
      <c r="D13" s="56">
        <f>94.5+130.2+302.4+58.5+141.3+351.75+29.7+31.5</f>
        <v>1139.8499999999999</v>
      </c>
      <c r="E13" s="56">
        <v>3</v>
      </c>
      <c r="F13" s="281">
        <v>8</v>
      </c>
      <c r="G13" s="40"/>
    </row>
    <row r="14" spans="2:7" ht="30" customHeight="1">
      <c r="B14" s="380"/>
      <c r="C14" s="259" t="s">
        <v>583</v>
      </c>
      <c r="D14" s="56">
        <f>38.96+18.59</f>
        <v>57.55</v>
      </c>
      <c r="E14" s="56">
        <v>1.05</v>
      </c>
      <c r="F14" s="281">
        <v>2</v>
      </c>
      <c r="G14" s="40"/>
    </row>
    <row r="15" spans="2:7" ht="30" customHeight="1">
      <c r="B15" s="380"/>
      <c r="C15" s="259" t="s">
        <v>584</v>
      </c>
      <c r="D15" s="56">
        <v>0</v>
      </c>
      <c r="E15" s="56">
        <v>1.05</v>
      </c>
      <c r="F15" s="281">
        <v>0</v>
      </c>
      <c r="G15" s="394" t="s">
        <v>567</v>
      </c>
    </row>
    <row r="16" spans="2:7" ht="30" customHeight="1">
      <c r="B16" s="380"/>
      <c r="C16" s="259" t="s">
        <v>585</v>
      </c>
      <c r="D16" s="56">
        <f>189+91.35+97.65+214.35+1728+82.35+43.2+24.3</f>
        <v>2470.1999999999998</v>
      </c>
      <c r="E16" s="56">
        <v>3</v>
      </c>
      <c r="F16" s="281">
        <v>8</v>
      </c>
      <c r="G16" s="40"/>
    </row>
    <row r="17" spans="2:7" ht="30" customHeight="1">
      <c r="B17" s="380"/>
      <c r="C17" s="382" t="s">
        <v>586</v>
      </c>
      <c r="D17" s="56">
        <f>33.08+62.79+17.9+33.08+24.94+26.46+10.4+10.08+10.4+15.12+11.69</f>
        <v>255.94000000000005</v>
      </c>
      <c r="E17" s="56">
        <v>1.05</v>
      </c>
      <c r="F17" s="281">
        <v>11</v>
      </c>
      <c r="G17" s="120"/>
    </row>
    <row r="18" spans="2:7" ht="30" customHeight="1">
      <c r="B18" s="380"/>
      <c r="C18" s="383"/>
      <c r="D18" s="56">
        <f>88.2+106.58+198.45+31.5+88.2</f>
        <v>512.93000000000006</v>
      </c>
      <c r="E18" s="56">
        <v>3.5</v>
      </c>
      <c r="F18" s="281">
        <v>5</v>
      </c>
      <c r="G18" s="120"/>
    </row>
    <row r="19" spans="2:7" ht="30" customHeight="1">
      <c r="B19" s="380"/>
      <c r="C19" s="259" t="s">
        <v>587</v>
      </c>
      <c r="D19" s="56">
        <f>231.53+189+78.75+69.3+28.8+28.8+57.6</f>
        <v>683.77999999999986</v>
      </c>
      <c r="E19" s="56">
        <v>3</v>
      </c>
      <c r="F19" s="281">
        <v>7</v>
      </c>
      <c r="G19" s="40"/>
    </row>
    <row r="20" spans="2:7" ht="30" customHeight="1">
      <c r="B20" s="380"/>
      <c r="C20" s="382" t="s">
        <v>588</v>
      </c>
      <c r="D20" s="56">
        <f>31.97+22.79+14.18+10.71</f>
        <v>79.650000000000006</v>
      </c>
      <c r="E20" s="56">
        <v>1.05</v>
      </c>
      <c r="F20" s="281">
        <v>4</v>
      </c>
      <c r="G20" s="120"/>
    </row>
    <row r="21" spans="2:7" ht="30" customHeight="1">
      <c r="B21" s="380"/>
      <c r="C21" s="383"/>
      <c r="D21" s="56">
        <v>0</v>
      </c>
      <c r="E21" s="56">
        <v>3.5</v>
      </c>
      <c r="F21" s="281">
        <v>0</v>
      </c>
      <c r="G21" s="394" t="s">
        <v>567</v>
      </c>
    </row>
    <row r="22" spans="2:7" ht="30" customHeight="1">
      <c r="B22" s="380"/>
      <c r="C22" s="382" t="s">
        <v>589</v>
      </c>
      <c r="D22" s="56">
        <f>189</f>
        <v>189</v>
      </c>
      <c r="E22" s="56">
        <v>3.5</v>
      </c>
      <c r="F22" s="281">
        <v>1</v>
      </c>
      <c r="G22" s="120"/>
    </row>
    <row r="23" spans="2:7" ht="30" customHeight="1">
      <c r="B23" s="380"/>
      <c r="C23" s="383"/>
      <c r="D23" s="56">
        <f>91.14+1.58+36.96</f>
        <v>129.68</v>
      </c>
      <c r="E23" s="56">
        <v>1.05</v>
      </c>
      <c r="F23" s="287">
        <v>4</v>
      </c>
      <c r="G23" s="120"/>
    </row>
    <row r="24" spans="2:7" ht="30" customHeight="1">
      <c r="B24" s="380"/>
      <c r="C24" s="382" t="s">
        <v>590</v>
      </c>
      <c r="D24" s="56">
        <v>160.13</v>
      </c>
      <c r="E24" s="56">
        <v>3</v>
      </c>
      <c r="F24" s="281">
        <v>1</v>
      </c>
      <c r="G24" s="120"/>
    </row>
    <row r="25" spans="2:7" ht="30" customHeight="1">
      <c r="B25" s="380"/>
      <c r="C25" s="383"/>
      <c r="D25" s="56">
        <v>0</v>
      </c>
      <c r="E25" s="56">
        <v>10</v>
      </c>
      <c r="F25" s="281">
        <v>0</v>
      </c>
      <c r="G25" s="394" t="s">
        <v>567</v>
      </c>
    </row>
    <row r="26" spans="2:7" ht="30" customHeight="1">
      <c r="B26" s="380"/>
      <c r="C26" s="382" t="s">
        <v>591</v>
      </c>
      <c r="D26" s="56">
        <f>222.08+162</f>
        <v>384.08000000000004</v>
      </c>
      <c r="E26" s="56">
        <v>10</v>
      </c>
      <c r="F26" s="281">
        <v>2</v>
      </c>
      <c r="G26" s="120"/>
    </row>
    <row r="27" spans="2:7" ht="30" customHeight="1">
      <c r="B27" s="380"/>
      <c r="C27" s="384"/>
      <c r="D27" s="56">
        <v>0</v>
      </c>
      <c r="E27" s="56">
        <v>6</v>
      </c>
      <c r="F27" s="281">
        <v>1</v>
      </c>
      <c r="G27" s="120"/>
    </row>
    <row r="28" spans="2:7" ht="30" customHeight="1">
      <c r="B28" s="380"/>
      <c r="C28" s="382" t="s">
        <v>592</v>
      </c>
      <c r="D28" s="56">
        <v>0</v>
      </c>
      <c r="E28" s="56">
        <v>3.5</v>
      </c>
      <c r="F28" s="281">
        <v>0</v>
      </c>
      <c r="G28" s="394" t="s">
        <v>567</v>
      </c>
    </row>
    <row r="29" spans="2:7" ht="30" customHeight="1">
      <c r="B29" s="380"/>
      <c r="C29" s="383"/>
      <c r="D29" s="56">
        <f>76.44+27.96+28.48+22.79+32.76+7.88+9.14+9.45+29.4</f>
        <v>244.29999999999998</v>
      </c>
      <c r="E29" s="56">
        <v>1.05</v>
      </c>
      <c r="F29" s="281">
        <v>9</v>
      </c>
      <c r="G29" s="120"/>
    </row>
    <row r="30" spans="2:7" ht="30" customHeight="1">
      <c r="B30" s="380"/>
      <c r="C30" s="259" t="s">
        <v>593</v>
      </c>
      <c r="D30" s="56">
        <f>405.72+107.88+30.24</f>
        <v>543.84</v>
      </c>
      <c r="E30" s="56">
        <v>1.8</v>
      </c>
      <c r="F30" s="281">
        <v>3</v>
      </c>
      <c r="G30" s="40"/>
    </row>
    <row r="31" spans="2:7" ht="30" customHeight="1">
      <c r="B31" s="380"/>
      <c r="C31" s="259" t="s">
        <v>594</v>
      </c>
      <c r="D31" s="56">
        <v>51.64</v>
      </c>
      <c r="E31" s="56">
        <v>4.5</v>
      </c>
      <c r="F31" s="281">
        <v>1</v>
      </c>
      <c r="G31" s="40"/>
    </row>
    <row r="32" spans="2:7" ht="30" customHeight="1">
      <c r="B32" s="380"/>
      <c r="C32" s="259" t="s">
        <v>595</v>
      </c>
      <c r="D32" s="56">
        <f>73.08+66.15+56.7+21.36+75.6+71.28+115.2+16.2+15.66</f>
        <v>511.22999999999996</v>
      </c>
      <c r="E32" s="56">
        <v>1.8</v>
      </c>
      <c r="F32" s="281">
        <v>9</v>
      </c>
      <c r="G32" s="40"/>
    </row>
    <row r="33" spans="2:7" ht="30" customHeight="1">
      <c r="B33" s="380"/>
      <c r="C33" s="260" t="s">
        <v>596</v>
      </c>
      <c r="D33" s="56">
        <f>1680+255.6+113.4+76.5</f>
        <v>2125.5</v>
      </c>
      <c r="E33" s="56">
        <v>3</v>
      </c>
      <c r="F33" s="281">
        <v>4</v>
      </c>
      <c r="G33" s="40"/>
    </row>
    <row r="34" spans="2:7" ht="30" customHeight="1">
      <c r="B34" s="380"/>
      <c r="C34" s="260" t="s">
        <v>597</v>
      </c>
      <c r="D34" s="56">
        <f>189.63+45.75+29.93+33.08+104.58</f>
        <v>402.96999999999997</v>
      </c>
      <c r="E34" s="56">
        <v>1.05</v>
      </c>
      <c r="F34" s="281">
        <v>5</v>
      </c>
      <c r="G34" s="40"/>
    </row>
    <row r="35" spans="2:7" ht="30" customHeight="1">
      <c r="B35" s="380"/>
      <c r="C35" s="259" t="s">
        <v>598</v>
      </c>
      <c r="D35" s="56">
        <f>43.27+63+129.3+151.2+90</f>
        <v>476.77</v>
      </c>
      <c r="E35" s="56">
        <v>3</v>
      </c>
      <c r="F35" s="281">
        <v>5</v>
      </c>
      <c r="G35" s="40"/>
    </row>
    <row r="36" spans="2:7" ht="30" customHeight="1">
      <c r="B36" s="380"/>
      <c r="C36" s="261" t="s">
        <v>599</v>
      </c>
      <c r="D36" s="56">
        <f>110.88+37.8+81.9+50.22+17.82+17.28</f>
        <v>315.89999999999998</v>
      </c>
      <c r="E36" s="56">
        <v>1.8</v>
      </c>
      <c r="F36" s="281">
        <v>8</v>
      </c>
      <c r="G36" s="40"/>
    </row>
    <row r="37" spans="2:7" ht="30" customHeight="1">
      <c r="B37" s="380"/>
      <c r="C37" s="261" t="s">
        <v>600</v>
      </c>
      <c r="D37" s="56">
        <v>1.58</v>
      </c>
      <c r="E37" s="56">
        <v>1.05</v>
      </c>
      <c r="F37" s="281">
        <v>1</v>
      </c>
      <c r="G37" s="40"/>
    </row>
    <row r="38" spans="2:7" ht="30" customHeight="1">
      <c r="B38" s="380"/>
      <c r="C38" s="260" t="s">
        <v>601</v>
      </c>
      <c r="D38" s="56">
        <f>332.96+151.2</f>
        <v>484.15999999999997</v>
      </c>
      <c r="E38" s="56">
        <v>1.05</v>
      </c>
      <c r="F38" s="281">
        <v>2</v>
      </c>
      <c r="G38" s="40"/>
    </row>
    <row r="39" spans="2:7" ht="30" customHeight="1">
      <c r="B39" s="380"/>
      <c r="C39" s="260" t="s">
        <v>602</v>
      </c>
      <c r="D39" s="56">
        <f>256.2+65.1+363.6+64.8</f>
        <v>749.69999999999993</v>
      </c>
      <c r="E39" s="56">
        <v>3</v>
      </c>
      <c r="F39" s="281">
        <v>4</v>
      </c>
      <c r="G39" s="40"/>
    </row>
    <row r="40" spans="2:7" ht="30" customHeight="1">
      <c r="B40" s="380"/>
      <c r="C40" s="260" t="s">
        <v>603</v>
      </c>
      <c r="D40" s="56">
        <f>142.8+60.9+67.2+126+88.2+66.6+26.73+27.9</f>
        <v>606.33000000000004</v>
      </c>
      <c r="E40" s="56">
        <v>3</v>
      </c>
      <c r="F40" s="281">
        <v>8</v>
      </c>
      <c r="G40" s="40"/>
    </row>
    <row r="41" spans="2:7" ht="30" customHeight="1">
      <c r="B41" s="380"/>
      <c r="C41" s="259" t="s">
        <v>604</v>
      </c>
      <c r="D41" s="56">
        <f>429.45+192.15+1312.5+2693.25</f>
        <v>4627.3500000000004</v>
      </c>
      <c r="E41" s="56">
        <v>3</v>
      </c>
      <c r="F41" s="281">
        <v>4</v>
      </c>
      <c r="G41" s="40"/>
    </row>
    <row r="42" spans="2:7" ht="30" customHeight="1">
      <c r="B42" s="380"/>
      <c r="C42" s="259" t="s">
        <v>605</v>
      </c>
      <c r="D42" s="56">
        <f>942.9+915.6</f>
        <v>1858.5</v>
      </c>
      <c r="E42" s="56">
        <v>3</v>
      </c>
      <c r="F42" s="281">
        <v>2</v>
      </c>
      <c r="G42" s="40"/>
    </row>
    <row r="43" spans="2:7" ht="30" customHeight="1">
      <c r="B43" s="380"/>
      <c r="C43" s="259" t="s">
        <v>606</v>
      </c>
      <c r="D43" s="56">
        <f>44.1+631.68+1356.08</f>
        <v>2031.86</v>
      </c>
      <c r="E43" s="56">
        <v>1.05</v>
      </c>
      <c r="F43" s="281">
        <v>3</v>
      </c>
      <c r="G43" s="40"/>
    </row>
    <row r="44" spans="2:7" ht="30" customHeight="1">
      <c r="B44" s="380"/>
      <c r="C44" s="259" t="s">
        <v>607</v>
      </c>
      <c r="D44" s="56">
        <v>2142</v>
      </c>
      <c r="E44" s="56">
        <v>1.05</v>
      </c>
      <c r="F44" s="281">
        <v>1</v>
      </c>
      <c r="G44" s="40"/>
    </row>
    <row r="45" spans="2:7" ht="30" customHeight="1">
      <c r="B45" s="380"/>
      <c r="C45" s="259" t="s">
        <v>608</v>
      </c>
      <c r="D45" s="56">
        <f>21+21</f>
        <v>42</v>
      </c>
      <c r="E45" s="56">
        <v>3</v>
      </c>
      <c r="F45" s="281">
        <v>2</v>
      </c>
      <c r="G45" s="40"/>
    </row>
    <row r="46" spans="2:7" ht="30" customHeight="1">
      <c r="B46" s="380"/>
      <c r="C46" s="259" t="s">
        <v>609</v>
      </c>
      <c r="D46" s="56">
        <f>85.68+39.06+677.88+50.4</f>
        <v>853.02</v>
      </c>
      <c r="E46" s="56">
        <v>3</v>
      </c>
      <c r="F46" s="281">
        <v>4</v>
      </c>
      <c r="G46" s="40"/>
    </row>
    <row r="47" spans="2:7" ht="30" customHeight="1">
      <c r="B47" s="380"/>
      <c r="C47" s="260" t="s">
        <v>610</v>
      </c>
      <c r="D47" s="56">
        <f>60.9+366.45+185.85</f>
        <v>613.19999999999993</v>
      </c>
      <c r="E47" s="56">
        <v>3</v>
      </c>
      <c r="F47" s="281">
        <v>3</v>
      </c>
      <c r="G47" s="40"/>
    </row>
    <row r="48" spans="2:7" ht="30" customHeight="1">
      <c r="B48" s="380"/>
      <c r="C48" s="260" t="s">
        <v>611</v>
      </c>
      <c r="D48" s="56">
        <f>22.05+10.71</f>
        <v>32.760000000000005</v>
      </c>
      <c r="E48" s="56">
        <v>1.05</v>
      </c>
      <c r="F48" s="281">
        <v>2</v>
      </c>
      <c r="G48" s="40"/>
    </row>
    <row r="49" spans="2:9" ht="30" customHeight="1">
      <c r="B49" s="380"/>
      <c r="C49" s="260" t="s">
        <v>611</v>
      </c>
      <c r="D49" s="56">
        <f>126+26.25</f>
        <v>152.25</v>
      </c>
      <c r="E49" s="56">
        <v>3.5</v>
      </c>
      <c r="F49" s="281">
        <v>2</v>
      </c>
      <c r="G49" s="120"/>
    </row>
    <row r="50" spans="2:9" ht="30" customHeight="1">
      <c r="B50" s="380"/>
      <c r="C50" s="260" t="s">
        <v>612</v>
      </c>
      <c r="D50" s="56">
        <f>157.5+67.5+43.2</f>
        <v>268.2</v>
      </c>
      <c r="E50" s="56">
        <v>3</v>
      </c>
      <c r="F50" s="287">
        <v>4</v>
      </c>
      <c r="G50" s="40"/>
    </row>
    <row r="51" spans="2:9" ht="30" customHeight="1">
      <c r="B51" s="380"/>
      <c r="C51" s="260" t="s">
        <v>613</v>
      </c>
      <c r="D51" s="56">
        <f>193.2+191.1+74.4+36+72.9+167.4</f>
        <v>734.99999999999989</v>
      </c>
      <c r="E51" s="56">
        <v>3</v>
      </c>
      <c r="F51" s="281">
        <v>6</v>
      </c>
      <c r="G51" s="40"/>
    </row>
    <row r="52" spans="2:9" ht="30" customHeight="1">
      <c r="B52" s="380"/>
      <c r="C52" s="260" t="s">
        <v>614</v>
      </c>
      <c r="D52" s="56">
        <f>75.89+59.54+162.07+26.46</f>
        <v>323.95999999999998</v>
      </c>
      <c r="E52" s="56">
        <v>1.05</v>
      </c>
      <c r="F52" s="281">
        <v>3</v>
      </c>
      <c r="G52" s="40"/>
      <c r="H52" s="262"/>
    </row>
    <row r="53" spans="2:9" ht="30" customHeight="1">
      <c r="B53" s="380"/>
      <c r="C53" s="260" t="s">
        <v>615</v>
      </c>
      <c r="D53" s="56">
        <f>190.26+99.9</f>
        <v>290.15999999999997</v>
      </c>
      <c r="E53" s="56">
        <v>1.8</v>
      </c>
      <c r="F53" s="281">
        <v>2</v>
      </c>
      <c r="G53" s="40"/>
    </row>
    <row r="54" spans="2:9" ht="30" customHeight="1">
      <c r="B54" s="380"/>
      <c r="C54" s="260" t="s">
        <v>616</v>
      </c>
      <c r="D54" s="56">
        <f>750.28+864.36+102.6+585.09</f>
        <v>2302.33</v>
      </c>
      <c r="E54" s="56">
        <v>1.8</v>
      </c>
      <c r="F54" s="281">
        <v>5</v>
      </c>
      <c r="G54" s="40"/>
    </row>
    <row r="55" spans="2:9" ht="30" customHeight="1">
      <c r="B55" s="380"/>
      <c r="C55" s="260" t="s">
        <v>617</v>
      </c>
      <c r="D55" s="56">
        <f>204.66</f>
        <v>204.66</v>
      </c>
      <c r="E55" s="56">
        <v>1.8</v>
      </c>
      <c r="F55" s="281">
        <v>1</v>
      </c>
      <c r="G55" s="40"/>
    </row>
    <row r="56" spans="2:9" ht="30" customHeight="1">
      <c r="B56" s="380"/>
      <c r="C56" s="260" t="s">
        <v>618</v>
      </c>
      <c r="D56" s="56">
        <f>1.58+79.38</f>
        <v>80.959999999999994</v>
      </c>
      <c r="E56" s="56">
        <v>1.05</v>
      </c>
      <c r="F56" s="281">
        <v>2</v>
      </c>
      <c r="G56" s="40"/>
    </row>
    <row r="57" spans="2:9" ht="30" customHeight="1">
      <c r="B57" s="380"/>
      <c r="C57" s="260" t="s">
        <v>619</v>
      </c>
      <c r="D57" s="56">
        <f>91.8+321.3+207.9+137.7+131.22</f>
        <v>889.92000000000007</v>
      </c>
      <c r="E57" s="56">
        <v>1.8</v>
      </c>
      <c r="F57" s="281">
        <v>4</v>
      </c>
      <c r="G57" s="40"/>
    </row>
    <row r="58" spans="2:9" ht="30" customHeight="1">
      <c r="B58" s="380"/>
      <c r="C58" s="260" t="s">
        <v>620</v>
      </c>
      <c r="D58" s="56">
        <f>1.58+39.06</f>
        <v>40.64</v>
      </c>
      <c r="E58" s="56">
        <v>1.05</v>
      </c>
      <c r="F58" s="287">
        <v>4</v>
      </c>
      <c r="G58" s="40"/>
    </row>
    <row r="59" spans="2:9" ht="30" customHeight="1">
      <c r="B59" s="380"/>
      <c r="C59" s="260" t="s">
        <v>621</v>
      </c>
      <c r="D59" s="56">
        <v>0</v>
      </c>
      <c r="E59" s="56">
        <v>1.8</v>
      </c>
      <c r="F59" s="281">
        <v>1</v>
      </c>
      <c r="G59" s="40"/>
    </row>
    <row r="60" spans="2:9" ht="30" customHeight="1">
      <c r="B60" s="380"/>
      <c r="C60" s="260" t="s">
        <v>622</v>
      </c>
      <c r="D60" s="56">
        <v>0</v>
      </c>
      <c r="E60" s="56">
        <v>1.8</v>
      </c>
      <c r="F60" s="281">
        <v>0</v>
      </c>
      <c r="G60" s="394" t="s">
        <v>567</v>
      </c>
    </row>
    <row r="61" spans="2:9" ht="30" customHeight="1">
      <c r="B61" s="381"/>
      <c r="C61" s="260" t="s">
        <v>623</v>
      </c>
      <c r="D61" s="56">
        <v>740.88</v>
      </c>
      <c r="E61" s="56">
        <v>1.05</v>
      </c>
      <c r="F61" s="281">
        <v>1</v>
      </c>
      <c r="G61" s="40"/>
    </row>
    <row r="62" spans="2:9" ht="25.5" customHeight="1">
      <c r="B62" s="263" t="s">
        <v>52</v>
      </c>
      <c r="C62" s="264"/>
      <c r="D62" s="60">
        <f>SUM(D8:D61)</f>
        <v>42942.12</v>
      </c>
      <c r="E62" s="60">
        <f>+SUM(E8:E61)</f>
        <v>145.05000000000007</v>
      </c>
      <c r="F62" s="282">
        <f>SUM(F8:F61)</f>
        <v>189</v>
      </c>
      <c r="G62" s="263"/>
      <c r="I62" s="265"/>
    </row>
    <row r="63" spans="2:9" ht="28.5" customHeight="1">
      <c r="B63" s="375" t="s">
        <v>53</v>
      </c>
      <c r="C63" s="6" t="s">
        <v>624</v>
      </c>
      <c r="D63" s="56">
        <v>0</v>
      </c>
      <c r="E63" s="56">
        <v>0</v>
      </c>
      <c r="F63" s="281">
        <v>2</v>
      </c>
      <c r="G63" s="395" t="s">
        <v>479</v>
      </c>
    </row>
    <row r="64" spans="2:9" ht="25.5" customHeight="1">
      <c r="B64" s="376"/>
      <c r="C64" s="6" t="s">
        <v>625</v>
      </c>
      <c r="D64" s="56">
        <v>0</v>
      </c>
      <c r="E64" s="56">
        <v>0</v>
      </c>
      <c r="F64" s="281">
        <v>0</v>
      </c>
      <c r="G64" s="396" t="s">
        <v>567</v>
      </c>
    </row>
    <row r="65" spans="2:10" ht="25.5" customHeight="1">
      <c r="B65" s="266"/>
      <c r="C65" s="6" t="s">
        <v>626</v>
      </c>
      <c r="D65" s="56">
        <v>0</v>
      </c>
      <c r="E65" s="56">
        <v>0</v>
      </c>
      <c r="F65" s="281">
        <v>4</v>
      </c>
      <c r="G65" s="395" t="s">
        <v>479</v>
      </c>
    </row>
    <row r="66" spans="2:10" ht="25.5" customHeight="1">
      <c r="B66" s="263" t="s">
        <v>52</v>
      </c>
      <c r="C66" s="264"/>
      <c r="D66" s="60">
        <f>SUM(D63:D65)</f>
        <v>0</v>
      </c>
      <c r="E66" s="60">
        <f>SUM(E63:E65)</f>
        <v>0</v>
      </c>
      <c r="F66" s="282">
        <f>SUM(F63:F65)</f>
        <v>6</v>
      </c>
      <c r="G66" s="44"/>
      <c r="H66" s="267"/>
      <c r="I66" s="267"/>
      <c r="J66" s="267"/>
    </row>
    <row r="67" spans="2:10" ht="31.5" customHeight="1">
      <c r="B67" s="352" t="s">
        <v>56</v>
      </c>
      <c r="C67" s="352"/>
      <c r="D67" s="352"/>
      <c r="E67" s="352"/>
      <c r="F67" s="352"/>
      <c r="G67" s="377"/>
    </row>
    <row r="68" spans="2:10" ht="60.75" customHeight="1">
      <c r="B68" s="120" t="s">
        <v>5</v>
      </c>
      <c r="C68" s="120" t="s">
        <v>57</v>
      </c>
      <c r="D68" s="120" t="s">
        <v>7</v>
      </c>
      <c r="E68" s="268" t="s">
        <v>58</v>
      </c>
      <c r="F68" s="268" t="s">
        <v>9</v>
      </c>
      <c r="G68" s="268" t="s">
        <v>10</v>
      </c>
    </row>
    <row r="69" spans="2:10" ht="33" customHeight="1">
      <c r="B69" s="269" t="s">
        <v>60</v>
      </c>
      <c r="C69" s="270"/>
      <c r="D69" s="56">
        <v>0</v>
      </c>
      <c r="E69" s="56">
        <v>0</v>
      </c>
      <c r="F69" s="281">
        <v>0</v>
      </c>
      <c r="G69" s="73"/>
    </row>
    <row r="70" spans="2:10" ht="24.75" customHeight="1">
      <c r="B70" s="263" t="s">
        <v>52</v>
      </c>
      <c r="C70" s="264"/>
      <c r="D70" s="60">
        <f>+D69</f>
        <v>0</v>
      </c>
      <c r="E70" s="60">
        <f>+E69</f>
        <v>0</v>
      </c>
      <c r="F70" s="282">
        <f>+F69</f>
        <v>0</v>
      </c>
      <c r="G70" s="263"/>
    </row>
    <row r="71" spans="2:10" ht="28.5" customHeight="1">
      <c r="B71" s="375" t="s">
        <v>61</v>
      </c>
      <c r="C71" s="6" t="s">
        <v>627</v>
      </c>
      <c r="D71" s="56">
        <v>13098</v>
      </c>
      <c r="E71" s="56">
        <f>13640+58+74+85+91+56</f>
        <v>14004</v>
      </c>
      <c r="F71" s="283">
        <v>178</v>
      </c>
      <c r="G71" s="73"/>
    </row>
    <row r="72" spans="2:10" ht="28.5" customHeight="1">
      <c r="B72" s="378"/>
      <c r="C72" s="6" t="s">
        <v>628</v>
      </c>
      <c r="D72" s="56">
        <f>408.87+5486.08+1138.75</f>
        <v>7033.7</v>
      </c>
      <c r="E72" s="56">
        <f>100*48</f>
        <v>4800</v>
      </c>
      <c r="F72" s="283">
        <v>48</v>
      </c>
      <c r="G72" s="73" t="s">
        <v>629</v>
      </c>
    </row>
    <row r="73" spans="2:10" ht="28.5" customHeight="1">
      <c r="B73" s="378"/>
      <c r="C73" s="6" t="s">
        <v>630</v>
      </c>
      <c r="D73" s="56">
        <f>183.27+1356.84+324.25</f>
        <v>1864.36</v>
      </c>
      <c r="E73" s="56">
        <f>57+60+73+49+47+47+43+50+66+50+47+53+57+59+79+57+52+49+53+50+61+50+47+61+49+58+49+49</f>
        <v>1522</v>
      </c>
      <c r="F73" s="283">
        <f>11+16+1</f>
        <v>28</v>
      </c>
      <c r="G73" s="73" t="s">
        <v>629</v>
      </c>
    </row>
    <row r="74" spans="2:10" ht="28.5" customHeight="1">
      <c r="B74" s="378"/>
      <c r="C74" s="6" t="s">
        <v>631</v>
      </c>
      <c r="D74" s="56">
        <f>172+474.15+99</f>
        <v>745.15</v>
      </c>
      <c r="E74" s="56">
        <f>98+94+842+87</f>
        <v>1121</v>
      </c>
      <c r="F74" s="283">
        <v>12</v>
      </c>
      <c r="G74" s="73"/>
    </row>
    <row r="75" spans="2:10" ht="28.5" customHeight="1">
      <c r="B75" s="376"/>
      <c r="C75" s="6" t="s">
        <v>632</v>
      </c>
      <c r="D75" s="56">
        <v>2033.63</v>
      </c>
      <c r="E75" s="56">
        <f>51*54+5*54</f>
        <v>3024</v>
      </c>
      <c r="F75" s="283">
        <f>5+51</f>
        <v>56</v>
      </c>
      <c r="G75" s="73"/>
    </row>
    <row r="76" spans="2:10" ht="29.25" customHeight="1">
      <c r="B76" s="263" t="s">
        <v>52</v>
      </c>
      <c r="C76" s="264"/>
      <c r="D76" s="60">
        <f>SUM(D71:D75)</f>
        <v>24774.840000000004</v>
      </c>
      <c r="E76" s="60">
        <f>SUM(E71:E75)</f>
        <v>24471</v>
      </c>
      <c r="F76" s="282">
        <f>SUM(F71:F75)</f>
        <v>322</v>
      </c>
      <c r="G76" s="263"/>
    </row>
    <row r="77" spans="2:10" ht="31.5" customHeight="1">
      <c r="B77" s="375" t="s">
        <v>63</v>
      </c>
      <c r="C77" s="6" t="s">
        <v>633</v>
      </c>
      <c r="D77" s="56">
        <v>0</v>
      </c>
      <c r="E77" s="56">
        <f>+ROUND(1312.47*1.22,2)</f>
        <v>1601.21</v>
      </c>
      <c r="F77" s="281">
        <v>1</v>
      </c>
      <c r="G77" s="73"/>
    </row>
    <row r="78" spans="2:10" ht="24" customHeight="1">
      <c r="B78" s="378"/>
      <c r="C78" s="6" t="s">
        <v>634</v>
      </c>
      <c r="D78" s="56">
        <v>0</v>
      </c>
      <c r="E78" s="56">
        <f>3345.95</f>
        <v>3345.95</v>
      </c>
      <c r="F78" s="281">
        <v>1</v>
      </c>
      <c r="G78" s="73" t="s">
        <v>635</v>
      </c>
    </row>
    <row r="79" spans="2:10" ht="29.25" customHeight="1">
      <c r="B79" s="376"/>
      <c r="C79" s="6" t="s">
        <v>636</v>
      </c>
      <c r="D79" s="56">
        <f>32292.16+25893.67+32292.16</f>
        <v>90477.99</v>
      </c>
      <c r="E79" s="56">
        <f>+ROUND(50999.97*1.22,2)</f>
        <v>62219.96</v>
      </c>
      <c r="F79" s="281">
        <v>1</v>
      </c>
      <c r="G79" s="73" t="s">
        <v>637</v>
      </c>
    </row>
    <row r="80" spans="2:10" ht="27" customHeight="1">
      <c r="B80" s="263" t="s">
        <v>52</v>
      </c>
      <c r="C80" s="264"/>
      <c r="D80" s="60">
        <f>SUM(D77:D79)</f>
        <v>90477.99</v>
      </c>
      <c r="E80" s="60">
        <f>SUM(E77:E79)</f>
        <v>67167.12</v>
      </c>
      <c r="F80" s="282">
        <f>SUM(F77:F79)</f>
        <v>3</v>
      </c>
      <c r="G80" s="263"/>
    </row>
    <row r="81" spans="2:7" ht="27" customHeight="1">
      <c r="B81" s="375" t="s">
        <v>64</v>
      </c>
      <c r="C81" s="6" t="s">
        <v>638</v>
      </c>
      <c r="D81" s="56">
        <v>0</v>
      </c>
      <c r="E81" s="56">
        <v>2730</v>
      </c>
      <c r="F81" s="281">
        <v>1</v>
      </c>
      <c r="G81" s="73"/>
    </row>
    <row r="82" spans="2:7" ht="27" customHeight="1">
      <c r="B82" s="376"/>
      <c r="C82" s="271" t="s">
        <v>639</v>
      </c>
      <c r="D82" s="56">
        <v>0</v>
      </c>
      <c r="E82" s="56">
        <v>692.55</v>
      </c>
      <c r="F82" s="281">
        <v>1</v>
      </c>
      <c r="G82" s="73"/>
    </row>
    <row r="83" spans="2:7" ht="24" customHeight="1">
      <c r="B83" s="263" t="s">
        <v>52</v>
      </c>
      <c r="C83" s="264"/>
      <c r="D83" s="60">
        <f>SUM(D81:D82)</f>
        <v>0</v>
      </c>
      <c r="E83" s="60">
        <f>SUM(E81:E82)</f>
        <v>3422.55</v>
      </c>
      <c r="F83" s="282">
        <f>SUM(F81:F82)</f>
        <v>2</v>
      </c>
      <c r="G83" s="263"/>
    </row>
    <row r="84" spans="2:7" ht="30.75" customHeight="1">
      <c r="B84" s="269" t="s">
        <v>124</v>
      </c>
      <c r="C84" s="270"/>
      <c r="D84" s="56">
        <v>0</v>
      </c>
      <c r="E84" s="56">
        <v>0</v>
      </c>
      <c r="F84" s="281">
        <v>0</v>
      </c>
      <c r="G84" s="73"/>
    </row>
    <row r="85" spans="2:7" ht="25.95" customHeight="1">
      <c r="B85" s="263" t="s">
        <v>52</v>
      </c>
      <c r="C85" s="264"/>
      <c r="D85" s="60">
        <f>+D84</f>
        <v>0</v>
      </c>
      <c r="E85" s="60">
        <f>+E84</f>
        <v>0</v>
      </c>
      <c r="F85" s="282">
        <f>+F84</f>
        <v>0</v>
      </c>
      <c r="G85" s="263"/>
    </row>
    <row r="86" spans="2:7" ht="17.25" customHeight="1">
      <c r="B86" s="379"/>
      <c r="C86" s="379"/>
      <c r="D86" s="379"/>
      <c r="E86" s="379"/>
      <c r="F86" s="379"/>
      <c r="G86" s="379"/>
    </row>
    <row r="87" spans="2:7" ht="33" customHeight="1">
      <c r="B87" s="272" t="s">
        <v>125</v>
      </c>
      <c r="C87" s="273"/>
      <c r="D87" s="280">
        <f>SUM(D62+D66+D70+D76+D80+D83+D85)</f>
        <v>158194.95000000001</v>
      </c>
      <c r="E87" s="280">
        <f>SUM(E62+E66+E70+E76+E80+E83+E85)</f>
        <v>95205.72</v>
      </c>
      <c r="F87" s="285">
        <f>SUM(F62+F66+F70+F76+F80+F83+F85)</f>
        <v>522</v>
      </c>
      <c r="G87" s="272"/>
    </row>
    <row r="88" spans="2:7">
      <c r="B88" s="274"/>
      <c r="C88" s="29"/>
      <c r="D88" s="275"/>
      <c r="E88" s="275"/>
      <c r="F88" s="276"/>
      <c r="G88" s="274"/>
    </row>
    <row r="89" spans="2:7">
      <c r="B89" s="277"/>
      <c r="C89" s="34"/>
      <c r="D89" s="278"/>
      <c r="E89" s="278"/>
      <c r="F89" s="279"/>
      <c r="G89" s="274"/>
    </row>
    <row r="90" spans="2:7">
      <c r="B90" s="291" t="s">
        <v>642</v>
      </c>
      <c r="C90" s="292"/>
      <c r="D90" s="296"/>
      <c r="E90" s="296"/>
      <c r="F90" s="297"/>
      <c r="G90" s="274"/>
    </row>
    <row r="91" spans="2:7">
      <c r="B91" s="238"/>
      <c r="C91" s="295"/>
      <c r="D91" s="298"/>
      <c r="E91" s="298"/>
      <c r="F91" s="299"/>
      <c r="G91" s="274"/>
    </row>
    <row r="92" spans="2:7">
      <c r="B92" s="239" t="s">
        <v>127</v>
      </c>
      <c r="C92" s="237"/>
      <c r="D92" s="237"/>
      <c r="E92" s="237"/>
      <c r="F92" s="237"/>
      <c r="G92" s="274"/>
    </row>
    <row r="93" spans="2:7">
      <c r="B93" s="239" t="s">
        <v>640</v>
      </c>
      <c r="C93" s="237"/>
      <c r="D93" s="237"/>
      <c r="E93" s="237"/>
      <c r="F93" s="237"/>
      <c r="G93" s="274"/>
    </row>
    <row r="94" spans="2:7">
      <c r="B94" s="239" t="s">
        <v>641</v>
      </c>
      <c r="C94" s="237"/>
      <c r="D94" s="237"/>
      <c r="E94" s="237"/>
      <c r="F94" s="237"/>
      <c r="G94" s="274"/>
    </row>
    <row r="95" spans="2:7">
      <c r="B95" s="293"/>
      <c r="C95" s="237"/>
      <c r="D95" s="237"/>
      <c r="E95" s="237"/>
      <c r="F95" s="237"/>
      <c r="G95" s="274"/>
    </row>
    <row r="96" spans="2:7">
      <c r="B96" s="294" t="s">
        <v>129</v>
      </c>
      <c r="C96" s="237"/>
      <c r="D96" s="237"/>
      <c r="E96" s="237"/>
      <c r="F96" s="237"/>
    </row>
  </sheetData>
  <mergeCells count="16">
    <mergeCell ref="B86:G86"/>
    <mergeCell ref="B4:G4"/>
    <mergeCell ref="B5:G5"/>
    <mergeCell ref="B6:G6"/>
    <mergeCell ref="B8:B61"/>
    <mergeCell ref="C17:C18"/>
    <mergeCell ref="C20:C21"/>
    <mergeCell ref="C22:C23"/>
    <mergeCell ref="C24:C25"/>
    <mergeCell ref="C26:C27"/>
    <mergeCell ref="C28:C29"/>
    <mergeCell ref="B63:B64"/>
    <mergeCell ref="B67:G67"/>
    <mergeCell ref="B71:B75"/>
    <mergeCell ref="B77:B79"/>
    <mergeCell ref="B81:B8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B09CC6-678A-446D-80BA-C122C24574E8}">
  <dimension ref="A1:J79"/>
  <sheetViews>
    <sheetView topLeftCell="A54" workbookViewId="0">
      <selection activeCell="J70" sqref="J70"/>
    </sheetView>
  </sheetViews>
  <sheetFormatPr defaultColWidth="9.109375" defaultRowHeight="14.4"/>
  <cols>
    <col min="1" max="1" width="3.44140625" customWidth="1"/>
    <col min="2" max="2" width="45.109375" customWidth="1"/>
    <col min="3" max="3" width="31.109375" style="34" customWidth="1"/>
    <col min="4" max="4" width="16.6640625" style="34" customWidth="1"/>
    <col min="5" max="5" width="24.88671875" style="13" customWidth="1"/>
    <col min="6" max="6" width="15.33203125" style="34" customWidth="1"/>
    <col min="7" max="7" width="45.109375" customWidth="1"/>
    <col min="8" max="8" width="11.5546875" bestFit="1" customWidth="1"/>
    <col min="9" max="9" width="12.6640625" customWidth="1"/>
  </cols>
  <sheetData>
    <row r="1" spans="2:9" ht="30" customHeight="1">
      <c r="B1" s="33" t="s">
        <v>0</v>
      </c>
    </row>
    <row r="2" spans="2:9" ht="25.5" customHeight="1">
      <c r="B2" s="118" t="s">
        <v>298</v>
      </c>
      <c r="D2" s="119"/>
      <c r="E2" s="119"/>
    </row>
    <row r="3" spans="2:9" ht="12.75" customHeight="1">
      <c r="B3" s="33"/>
      <c r="D3" s="119"/>
      <c r="E3" s="119"/>
    </row>
    <row r="4" spans="2:9" ht="32.25" customHeight="1">
      <c r="B4" s="347" t="s">
        <v>299</v>
      </c>
      <c r="C4" s="347"/>
      <c r="D4" s="347"/>
      <c r="E4" s="347"/>
      <c r="F4" s="347"/>
      <c r="G4" s="347"/>
    </row>
    <row r="5" spans="2:9" ht="31.5" customHeight="1">
      <c r="B5" s="347" t="s">
        <v>300</v>
      </c>
      <c r="C5" s="347"/>
      <c r="D5" s="347"/>
      <c r="E5" s="347"/>
      <c r="F5" s="347"/>
      <c r="G5" s="347"/>
    </row>
    <row r="6" spans="2:9" ht="26.25" customHeight="1">
      <c r="B6" s="348" t="s">
        <v>4</v>
      </c>
      <c r="C6" s="348"/>
      <c r="D6" s="348"/>
      <c r="E6" s="348"/>
      <c r="F6" s="348"/>
      <c r="G6" s="348"/>
    </row>
    <row r="7" spans="2:9" ht="63.75" customHeight="1">
      <c r="B7" s="40" t="s">
        <v>5</v>
      </c>
      <c r="C7" s="120" t="s">
        <v>6</v>
      </c>
      <c r="D7" s="120" t="s">
        <v>7</v>
      </c>
      <c r="E7" s="120" t="s">
        <v>8</v>
      </c>
      <c r="F7" s="120" t="s">
        <v>9</v>
      </c>
      <c r="G7" s="120" t="s">
        <v>10</v>
      </c>
    </row>
    <row r="8" spans="2:9" ht="36.75" customHeight="1">
      <c r="B8" s="345" t="s">
        <v>301</v>
      </c>
      <c r="C8" s="6" t="s">
        <v>302</v>
      </c>
      <c r="D8" s="90">
        <v>334.82</v>
      </c>
      <c r="E8" s="186">
        <v>2.5499999999999998</v>
      </c>
      <c r="F8" s="86">
        <v>2</v>
      </c>
      <c r="G8" s="121"/>
    </row>
    <row r="9" spans="2:9" ht="36.75" customHeight="1">
      <c r="B9" s="345"/>
      <c r="C9" s="6" t="s">
        <v>303</v>
      </c>
      <c r="D9" s="90">
        <v>1150.56</v>
      </c>
      <c r="E9" s="186">
        <v>2.5499999999999998</v>
      </c>
      <c r="F9" s="86">
        <v>4</v>
      </c>
      <c r="G9" s="122"/>
      <c r="H9" s="123"/>
    </row>
    <row r="10" spans="2:9" ht="36.75" customHeight="1">
      <c r="B10" s="345"/>
      <c r="C10" s="6" t="s">
        <v>304</v>
      </c>
      <c r="D10" s="90">
        <v>177.86</v>
      </c>
      <c r="E10" s="186">
        <v>2.5499999999999998</v>
      </c>
      <c r="F10" s="86">
        <v>1</v>
      </c>
      <c r="G10" s="122"/>
      <c r="H10" s="123"/>
    </row>
    <row r="11" spans="2:9" ht="36.75" customHeight="1">
      <c r="B11" s="345"/>
      <c r="C11" s="6" t="s">
        <v>305</v>
      </c>
      <c r="D11" s="90">
        <v>18.899999999999999</v>
      </c>
      <c r="E11" s="186">
        <v>1.8</v>
      </c>
      <c r="F11" s="86">
        <v>2</v>
      </c>
      <c r="G11" s="122"/>
      <c r="H11" s="123"/>
    </row>
    <row r="12" spans="2:9" ht="36.75" customHeight="1">
      <c r="B12" s="345"/>
      <c r="C12" s="6" t="s">
        <v>306</v>
      </c>
      <c r="D12" s="90">
        <v>590.16999999999996</v>
      </c>
      <c r="E12" s="186">
        <v>1.8</v>
      </c>
      <c r="F12" s="189">
        <v>7</v>
      </c>
      <c r="G12" s="122"/>
      <c r="I12" s="123"/>
    </row>
    <row r="13" spans="2:9" ht="36.75" customHeight="1">
      <c r="B13" s="345"/>
      <c r="C13" s="6" t="s">
        <v>307</v>
      </c>
      <c r="D13" s="90">
        <v>443.33</v>
      </c>
      <c r="E13" s="186">
        <v>2.5499999999999998</v>
      </c>
      <c r="F13" s="189">
        <v>7</v>
      </c>
      <c r="G13" s="122"/>
      <c r="H13" s="123"/>
    </row>
    <row r="14" spans="2:9" ht="36.75" customHeight="1">
      <c r="B14" s="345"/>
      <c r="C14" s="6" t="s">
        <v>308</v>
      </c>
      <c r="D14" s="90">
        <v>81.540000000000006</v>
      </c>
      <c r="E14" s="187">
        <v>1.8</v>
      </c>
      <c r="F14" s="190">
        <v>3</v>
      </c>
      <c r="G14" s="122"/>
      <c r="H14" s="123"/>
    </row>
    <row r="15" spans="2:9" ht="36.75" customHeight="1">
      <c r="B15" s="345"/>
      <c r="C15" s="6" t="s">
        <v>308</v>
      </c>
      <c r="D15" s="90">
        <v>1309.3900000000001</v>
      </c>
      <c r="E15" s="186">
        <v>3.39</v>
      </c>
      <c r="F15" s="189">
        <v>3</v>
      </c>
      <c r="G15" s="122"/>
      <c r="H15" s="123"/>
    </row>
    <row r="16" spans="2:9" ht="36.75" customHeight="1">
      <c r="B16" s="345"/>
      <c r="C16" s="6" t="s">
        <v>309</v>
      </c>
      <c r="D16" s="90">
        <v>1166.3399999999999</v>
      </c>
      <c r="E16" s="186">
        <v>2.5499999999999998</v>
      </c>
      <c r="F16" s="189">
        <v>8</v>
      </c>
      <c r="G16" s="122"/>
    </row>
    <row r="17" spans="2:9" ht="36.75" customHeight="1">
      <c r="B17" s="345"/>
      <c r="C17" s="6" t="s">
        <v>310</v>
      </c>
      <c r="D17" s="90">
        <v>406.44</v>
      </c>
      <c r="E17" s="186">
        <v>1.8</v>
      </c>
      <c r="F17" s="189">
        <v>3</v>
      </c>
      <c r="G17" s="122"/>
    </row>
    <row r="18" spans="2:9" ht="36.75" customHeight="1">
      <c r="B18" s="345"/>
      <c r="C18" s="6" t="s">
        <v>311</v>
      </c>
      <c r="D18" s="90">
        <v>120.24</v>
      </c>
      <c r="E18" s="186">
        <v>1.8</v>
      </c>
      <c r="F18" s="189">
        <v>1</v>
      </c>
      <c r="G18" s="121"/>
    </row>
    <row r="19" spans="2:9" ht="36.75" customHeight="1">
      <c r="B19" s="345"/>
      <c r="C19" s="6" t="s">
        <v>312</v>
      </c>
      <c r="D19" s="90">
        <v>517.79</v>
      </c>
      <c r="E19" s="186">
        <v>2.5499999999999998</v>
      </c>
      <c r="F19" s="189">
        <v>11</v>
      </c>
      <c r="G19" s="122"/>
      <c r="H19" s="123"/>
    </row>
    <row r="20" spans="2:9" ht="36.75" customHeight="1">
      <c r="B20" s="345"/>
      <c r="C20" s="6" t="s">
        <v>313</v>
      </c>
      <c r="D20" s="90">
        <v>68.040000000000006</v>
      </c>
      <c r="E20" s="186">
        <v>1.8</v>
      </c>
      <c r="F20" s="189">
        <v>2</v>
      </c>
      <c r="G20" s="125"/>
    </row>
    <row r="21" spans="2:9" ht="36.75" customHeight="1">
      <c r="B21" s="345"/>
      <c r="C21" s="6" t="s">
        <v>313</v>
      </c>
      <c r="D21" s="90">
        <v>172.59</v>
      </c>
      <c r="E21" s="186">
        <v>3.39</v>
      </c>
      <c r="F21" s="189">
        <v>1</v>
      </c>
      <c r="G21" s="125"/>
    </row>
    <row r="22" spans="2:9" ht="36.75" customHeight="1">
      <c r="B22" s="345"/>
      <c r="C22" s="6" t="s">
        <v>314</v>
      </c>
      <c r="D22" s="90">
        <v>1334.61</v>
      </c>
      <c r="E22" s="186">
        <v>2.5499999999999998</v>
      </c>
      <c r="F22" s="189">
        <v>8</v>
      </c>
      <c r="G22" s="125"/>
    </row>
    <row r="23" spans="2:9" ht="36.75" customHeight="1">
      <c r="B23" s="345"/>
      <c r="C23" s="6" t="s">
        <v>315</v>
      </c>
      <c r="D23" s="90">
        <v>3181.91</v>
      </c>
      <c r="E23" s="186">
        <v>2.5499999999999998</v>
      </c>
      <c r="F23" s="189">
        <v>11</v>
      </c>
      <c r="G23" s="122"/>
      <c r="H23" s="123"/>
    </row>
    <row r="24" spans="2:9" ht="36.75" customHeight="1">
      <c r="B24" s="345"/>
      <c r="C24" s="6" t="s">
        <v>316</v>
      </c>
      <c r="D24" s="90">
        <v>172.19</v>
      </c>
      <c r="E24" s="186">
        <v>1.8</v>
      </c>
      <c r="F24" s="189">
        <v>2</v>
      </c>
      <c r="G24" s="122"/>
      <c r="H24" s="123"/>
    </row>
    <row r="25" spans="2:9" ht="36.75" customHeight="1">
      <c r="B25" s="345"/>
      <c r="C25" s="6" t="s">
        <v>316</v>
      </c>
      <c r="D25" s="90">
        <v>199.33</v>
      </c>
      <c r="E25" s="186">
        <v>3.39</v>
      </c>
      <c r="F25" s="189">
        <v>1</v>
      </c>
      <c r="G25" s="17"/>
    </row>
    <row r="26" spans="2:9" ht="36.75" customHeight="1">
      <c r="B26" s="345"/>
      <c r="C26" s="6" t="s">
        <v>317</v>
      </c>
      <c r="D26" s="90">
        <v>36.450000000000003</v>
      </c>
      <c r="E26" s="186">
        <v>1.8</v>
      </c>
      <c r="F26" s="189">
        <v>2</v>
      </c>
      <c r="G26" s="122"/>
    </row>
    <row r="27" spans="2:9" ht="36.75" customHeight="1">
      <c r="B27" s="345"/>
      <c r="C27" s="6" t="s">
        <v>318</v>
      </c>
      <c r="D27" s="90">
        <v>37.26</v>
      </c>
      <c r="E27" s="186">
        <v>1.8</v>
      </c>
      <c r="F27" s="189">
        <v>2</v>
      </c>
      <c r="G27" s="122"/>
    </row>
    <row r="28" spans="2:9" ht="36.75" customHeight="1">
      <c r="B28" s="345"/>
      <c r="C28" s="6" t="s">
        <v>319</v>
      </c>
      <c r="D28" s="90">
        <v>131.96</v>
      </c>
      <c r="E28" s="186">
        <v>2.5499999999999998</v>
      </c>
      <c r="F28" s="189">
        <v>3</v>
      </c>
      <c r="G28" s="122"/>
    </row>
    <row r="29" spans="2:9" ht="36.75" customHeight="1">
      <c r="B29" s="345"/>
      <c r="C29" s="6" t="s">
        <v>320</v>
      </c>
      <c r="D29" s="90">
        <v>16.2</v>
      </c>
      <c r="E29" s="186">
        <v>1.8</v>
      </c>
      <c r="F29" s="189">
        <v>1</v>
      </c>
      <c r="G29" s="122"/>
    </row>
    <row r="30" spans="2:9" ht="36.75" customHeight="1">
      <c r="B30" s="345"/>
      <c r="C30" s="6" t="s">
        <v>321</v>
      </c>
      <c r="D30" s="90">
        <v>399.84</v>
      </c>
      <c r="E30" s="186">
        <v>2.5499999999999998</v>
      </c>
      <c r="F30" s="189">
        <v>1</v>
      </c>
      <c r="G30" s="17"/>
    </row>
    <row r="31" spans="2:9" ht="36.75" customHeight="1">
      <c r="B31" s="345"/>
      <c r="C31" s="6" t="s">
        <v>322</v>
      </c>
      <c r="D31" s="90">
        <v>779.01</v>
      </c>
      <c r="E31" s="186">
        <v>2.5499999999999998</v>
      </c>
      <c r="F31" s="189">
        <v>5</v>
      </c>
      <c r="G31" s="122"/>
      <c r="H31" s="123"/>
      <c r="I31" s="28"/>
    </row>
    <row r="32" spans="2:9" ht="36.75" customHeight="1">
      <c r="B32" s="345"/>
      <c r="C32" s="6" t="s">
        <v>323</v>
      </c>
      <c r="D32" s="90">
        <v>3374.97</v>
      </c>
      <c r="E32" s="186">
        <v>2.85</v>
      </c>
      <c r="F32" s="189">
        <v>12</v>
      </c>
      <c r="G32" s="122"/>
      <c r="H32" s="123"/>
      <c r="I32" s="28"/>
    </row>
    <row r="33" spans="2:10" ht="36.75" customHeight="1">
      <c r="B33" s="345"/>
      <c r="C33" s="6" t="s">
        <v>324</v>
      </c>
      <c r="D33" s="90">
        <v>491.13</v>
      </c>
      <c r="E33" s="186">
        <v>2.5499999999999998</v>
      </c>
      <c r="F33" s="189">
        <v>4</v>
      </c>
      <c r="G33" s="121"/>
      <c r="H33" s="123"/>
    </row>
    <row r="34" spans="2:10" ht="36.75" customHeight="1">
      <c r="B34" s="345"/>
      <c r="C34" s="6" t="s">
        <v>325</v>
      </c>
      <c r="D34" s="90">
        <v>41.32</v>
      </c>
      <c r="E34" s="186">
        <v>1.8</v>
      </c>
      <c r="F34" s="189">
        <v>3</v>
      </c>
      <c r="G34" s="122"/>
      <c r="H34" s="123"/>
    </row>
    <row r="35" spans="2:10" ht="36.75" customHeight="1">
      <c r="B35" s="345"/>
      <c r="C35" s="6" t="s">
        <v>326</v>
      </c>
      <c r="D35" s="90">
        <v>1256.6500000000001</v>
      </c>
      <c r="E35" s="186">
        <v>2.5499999999999998</v>
      </c>
      <c r="F35" s="191">
        <v>13</v>
      </c>
      <c r="G35" s="122"/>
      <c r="H35" s="123"/>
    </row>
    <row r="36" spans="2:10" ht="36.75" customHeight="1">
      <c r="B36" s="345"/>
      <c r="C36" s="6" t="s">
        <v>327</v>
      </c>
      <c r="D36" s="90">
        <v>108.36</v>
      </c>
      <c r="E36" s="186">
        <v>1.8</v>
      </c>
      <c r="F36" s="189">
        <v>3</v>
      </c>
      <c r="G36" s="125"/>
    </row>
    <row r="37" spans="2:10" ht="36.75" customHeight="1">
      <c r="B37" s="345"/>
      <c r="C37" s="6" t="s">
        <v>328</v>
      </c>
      <c r="D37" s="90">
        <v>49.14</v>
      </c>
      <c r="E37" s="186">
        <v>1.8</v>
      </c>
      <c r="F37" s="189">
        <v>1</v>
      </c>
      <c r="G37" s="125"/>
      <c r="I37" s="126"/>
    </row>
    <row r="38" spans="2:10" ht="36.75" customHeight="1">
      <c r="B38" s="345"/>
      <c r="C38" s="6" t="s">
        <v>329</v>
      </c>
      <c r="D38" s="90">
        <v>2966.57</v>
      </c>
      <c r="E38" s="186">
        <v>2.85</v>
      </c>
      <c r="F38" s="189">
        <v>8</v>
      </c>
      <c r="G38" s="122"/>
    </row>
    <row r="39" spans="2:10" ht="36.75" customHeight="1">
      <c r="B39" s="345"/>
      <c r="C39" s="6" t="s">
        <v>330</v>
      </c>
      <c r="D39" s="90">
        <v>1842.21</v>
      </c>
      <c r="E39" s="186">
        <v>2.85</v>
      </c>
      <c r="F39" s="189">
        <v>6</v>
      </c>
      <c r="G39" s="122"/>
      <c r="H39" s="123"/>
      <c r="I39" s="126"/>
    </row>
    <row r="40" spans="2:10" ht="36.75" customHeight="1">
      <c r="B40" s="345"/>
      <c r="C40" s="6" t="s">
        <v>331</v>
      </c>
      <c r="D40" s="90">
        <v>1470.34</v>
      </c>
      <c r="E40" s="186">
        <v>2.5499999999999998</v>
      </c>
      <c r="F40" s="189">
        <v>7</v>
      </c>
      <c r="G40" s="122"/>
      <c r="H40" s="123"/>
    </row>
    <row r="41" spans="2:10" ht="36.75" customHeight="1">
      <c r="B41" s="345"/>
      <c r="C41" s="6" t="s">
        <v>332</v>
      </c>
      <c r="D41" s="90">
        <v>1600.56</v>
      </c>
      <c r="E41" s="186">
        <v>2.85</v>
      </c>
      <c r="F41" s="189">
        <v>5</v>
      </c>
      <c r="G41" s="121"/>
    </row>
    <row r="42" spans="2:10" ht="36.75" customHeight="1">
      <c r="B42" s="345"/>
      <c r="C42" s="6" t="s">
        <v>333</v>
      </c>
      <c r="D42" s="90">
        <v>895.56</v>
      </c>
      <c r="E42" s="186">
        <v>2.5499999999999998</v>
      </c>
      <c r="F42" s="189">
        <v>5</v>
      </c>
      <c r="G42" s="122"/>
      <c r="H42" s="123"/>
    </row>
    <row r="43" spans="2:10" ht="36.75" customHeight="1">
      <c r="B43" s="345"/>
      <c r="C43" s="6" t="s">
        <v>334</v>
      </c>
      <c r="D43" s="90">
        <v>134.24</v>
      </c>
      <c r="E43" s="186">
        <v>3.39</v>
      </c>
      <c r="F43" s="189">
        <v>2</v>
      </c>
      <c r="G43" s="121"/>
    </row>
    <row r="44" spans="2:10" ht="45" customHeight="1">
      <c r="B44" s="42" t="s">
        <v>52</v>
      </c>
      <c r="C44" s="6"/>
      <c r="D44" s="185">
        <f>SUM(D8:D43)</f>
        <v>27077.820000000003</v>
      </c>
      <c r="E44" s="185">
        <f>SUM(E8:E43)</f>
        <v>86.609999999999943</v>
      </c>
      <c r="F44" s="192">
        <f>SUM(F8:F43)</f>
        <v>160</v>
      </c>
      <c r="G44" s="44"/>
    </row>
    <row r="45" spans="2:10" ht="42.75" customHeight="1">
      <c r="B45" s="349" t="s">
        <v>53</v>
      </c>
      <c r="C45" s="124" t="s">
        <v>335</v>
      </c>
      <c r="D45" s="81">
        <v>268</v>
      </c>
      <c r="E45" s="186">
        <v>113</v>
      </c>
      <c r="F45" s="86">
        <v>2</v>
      </c>
      <c r="G45" s="127" t="s">
        <v>336</v>
      </c>
    </row>
    <row r="46" spans="2:10" ht="35.25" customHeight="1">
      <c r="B46" s="350"/>
      <c r="C46" s="124" t="s">
        <v>337</v>
      </c>
      <c r="D46" s="81">
        <v>0</v>
      </c>
      <c r="E46" s="186">
        <v>31.7</v>
      </c>
      <c r="F46" s="86">
        <v>0</v>
      </c>
      <c r="G46" s="127" t="s">
        <v>338</v>
      </c>
    </row>
    <row r="47" spans="2:10" ht="34.5" customHeight="1">
      <c r="B47" s="350"/>
      <c r="C47" s="124" t="s">
        <v>339</v>
      </c>
      <c r="D47" s="81">
        <v>33</v>
      </c>
      <c r="E47" s="186">
        <v>16.5</v>
      </c>
      <c r="F47" s="86">
        <v>4</v>
      </c>
      <c r="G47" s="127" t="s">
        <v>340</v>
      </c>
      <c r="H47" s="123"/>
    </row>
    <row r="48" spans="2:10" ht="42" customHeight="1">
      <c r="B48" s="350"/>
      <c r="C48" s="124" t="s">
        <v>341</v>
      </c>
      <c r="D48" s="81">
        <v>0</v>
      </c>
      <c r="E48" s="186">
        <v>47.5</v>
      </c>
      <c r="F48" s="86">
        <v>0</v>
      </c>
      <c r="G48" s="127" t="s">
        <v>342</v>
      </c>
      <c r="H48" s="46"/>
      <c r="I48" s="46"/>
      <c r="J48" s="46"/>
    </row>
    <row r="49" spans="1:10" ht="42" customHeight="1">
      <c r="B49" s="351"/>
      <c r="C49" s="124" t="s">
        <v>343</v>
      </c>
      <c r="D49" s="90">
        <v>266.10000000000002</v>
      </c>
      <c r="E49" s="186">
        <v>16.5</v>
      </c>
      <c r="F49" s="191">
        <v>19</v>
      </c>
      <c r="G49" s="127" t="s">
        <v>340</v>
      </c>
      <c r="H49" s="123"/>
      <c r="I49" s="46"/>
      <c r="J49" s="46"/>
    </row>
    <row r="50" spans="1:10" ht="42" customHeight="1">
      <c r="B50" s="128"/>
      <c r="C50" s="124" t="s">
        <v>344</v>
      </c>
      <c r="D50" s="81">
        <v>0</v>
      </c>
      <c r="E50" s="186">
        <v>16.5</v>
      </c>
      <c r="F50" s="86">
        <v>1</v>
      </c>
      <c r="G50" s="127" t="s">
        <v>340</v>
      </c>
      <c r="H50" s="46"/>
      <c r="I50" s="46"/>
      <c r="J50" s="46"/>
    </row>
    <row r="51" spans="1:10" ht="34.5" customHeight="1">
      <c r="B51" s="48" t="s">
        <v>52</v>
      </c>
      <c r="C51" s="120"/>
      <c r="D51" s="185">
        <f>SUM(D45:D50)</f>
        <v>567.1</v>
      </c>
      <c r="E51" s="185">
        <f>SUM(E45:E50)</f>
        <v>241.7</v>
      </c>
      <c r="F51" s="192">
        <f>SUM(F45:F50)</f>
        <v>26</v>
      </c>
      <c r="G51" s="44"/>
      <c r="H51" s="46"/>
      <c r="I51" s="46"/>
      <c r="J51" s="46"/>
    </row>
    <row r="52" spans="1:10" ht="31.5" customHeight="1">
      <c r="B52" s="352" t="s">
        <v>56</v>
      </c>
      <c r="C52" s="352"/>
      <c r="D52" s="352"/>
      <c r="E52" s="352"/>
      <c r="F52" s="352"/>
      <c r="G52" s="353"/>
    </row>
    <row r="53" spans="1:10" ht="65.25" customHeight="1">
      <c r="A53" s="13"/>
      <c r="B53" s="120" t="s">
        <v>5</v>
      </c>
      <c r="C53" s="120" t="s">
        <v>57</v>
      </c>
      <c r="D53" s="120" t="s">
        <v>7</v>
      </c>
      <c r="E53" s="120" t="s">
        <v>58</v>
      </c>
      <c r="F53" s="120" t="s">
        <v>9</v>
      </c>
      <c r="G53" s="120" t="s">
        <v>59</v>
      </c>
    </row>
    <row r="54" spans="1:10" ht="33" customHeight="1">
      <c r="B54" s="385" t="s">
        <v>60</v>
      </c>
      <c r="C54" s="6" t="s">
        <v>345</v>
      </c>
      <c r="D54" s="81">
        <v>0</v>
      </c>
      <c r="E54" s="81">
        <v>0</v>
      </c>
      <c r="F54" s="189">
        <v>1</v>
      </c>
      <c r="G54" s="257" t="s">
        <v>479</v>
      </c>
    </row>
    <row r="55" spans="1:10" ht="33" customHeight="1">
      <c r="B55" s="386"/>
      <c r="C55" s="6" t="s">
        <v>346</v>
      </c>
      <c r="D55" s="81">
        <v>0</v>
      </c>
      <c r="E55" s="81">
        <v>0</v>
      </c>
      <c r="F55" s="189">
        <v>1</v>
      </c>
      <c r="G55" s="257" t="s">
        <v>479</v>
      </c>
    </row>
    <row r="56" spans="1:10" ht="33" customHeight="1">
      <c r="B56" s="387"/>
      <c r="C56" s="6" t="s">
        <v>347</v>
      </c>
      <c r="D56" s="81">
        <v>0</v>
      </c>
      <c r="E56" s="81">
        <v>0</v>
      </c>
      <c r="F56" s="189">
        <v>1</v>
      </c>
      <c r="G56" s="257" t="s">
        <v>479</v>
      </c>
    </row>
    <row r="57" spans="1:10" ht="21.75" customHeight="1">
      <c r="B57" s="52" t="s">
        <v>52</v>
      </c>
      <c r="C57" s="43"/>
      <c r="D57" s="185">
        <f>SUM(D54:D56)</f>
        <v>0</v>
      </c>
      <c r="E57" s="185">
        <f>SUM(E54:E56)</f>
        <v>0</v>
      </c>
      <c r="F57" s="129">
        <f>SUM(F54:F56)</f>
        <v>3</v>
      </c>
      <c r="G57" s="10"/>
    </row>
    <row r="58" spans="1:10" ht="27.75" customHeight="1">
      <c r="B58" s="388" t="s">
        <v>61</v>
      </c>
      <c r="C58" s="6" t="s">
        <v>348</v>
      </c>
      <c r="D58" s="81">
        <v>1238</v>
      </c>
      <c r="E58" s="81">
        <v>2603</v>
      </c>
      <c r="F58" s="189">
        <v>55</v>
      </c>
      <c r="G58" s="130"/>
      <c r="H58" s="123"/>
    </row>
    <row r="59" spans="1:10" ht="28.5" customHeight="1">
      <c r="B59" s="389"/>
      <c r="C59" s="6" t="s">
        <v>349</v>
      </c>
      <c r="D59" s="81">
        <v>1067.1199999999999</v>
      </c>
      <c r="E59" s="81">
        <v>1188.72</v>
      </c>
      <c r="F59" s="189">
        <v>40</v>
      </c>
      <c r="G59" s="130"/>
      <c r="H59" s="123"/>
      <c r="I59" s="123"/>
    </row>
    <row r="60" spans="1:10" ht="29.25" customHeight="1">
      <c r="B60" s="52" t="s">
        <v>52</v>
      </c>
      <c r="C60" s="53"/>
      <c r="D60" s="185">
        <f>D58+D59</f>
        <v>2305.12</v>
      </c>
      <c r="E60" s="185">
        <f>E58+E59</f>
        <v>3791.7200000000003</v>
      </c>
      <c r="F60" s="129">
        <f>F58+F59</f>
        <v>95</v>
      </c>
      <c r="G60" s="10"/>
    </row>
    <row r="61" spans="1:10" ht="24" customHeight="1">
      <c r="B61" s="73" t="s">
        <v>63</v>
      </c>
      <c r="C61" s="38"/>
      <c r="D61" s="56">
        <v>0</v>
      </c>
      <c r="E61" s="56">
        <v>0</v>
      </c>
      <c r="F61" s="189">
        <v>0</v>
      </c>
      <c r="G61" s="10"/>
    </row>
    <row r="62" spans="1:10" ht="27" customHeight="1">
      <c r="B62" s="52" t="s">
        <v>52</v>
      </c>
      <c r="C62" s="43"/>
      <c r="D62" s="68">
        <f>SUM(D61)</f>
        <v>0</v>
      </c>
      <c r="E62" s="68">
        <f>SUM(E61)</f>
        <v>0</v>
      </c>
      <c r="F62" s="193">
        <f>SUM(F61)</f>
        <v>0</v>
      </c>
      <c r="G62" s="10"/>
    </row>
    <row r="63" spans="1:10" ht="33" customHeight="1">
      <c r="B63" s="73" t="s">
        <v>64</v>
      </c>
      <c r="C63" s="38"/>
      <c r="D63" s="56">
        <v>0</v>
      </c>
      <c r="E63" s="56">
        <v>0</v>
      </c>
      <c r="F63" s="129">
        <v>0</v>
      </c>
      <c r="G63" s="10"/>
    </row>
    <row r="64" spans="1:10" ht="24.75" customHeight="1">
      <c r="B64" s="52" t="s">
        <v>52</v>
      </c>
      <c r="C64" s="43"/>
      <c r="D64" s="68">
        <f>SUM(D63)</f>
        <v>0</v>
      </c>
      <c r="E64" s="68">
        <f>SUM(E63)</f>
        <v>0</v>
      </c>
      <c r="F64" s="193">
        <f>SUM(F63)</f>
        <v>0</v>
      </c>
      <c r="G64" s="10"/>
    </row>
    <row r="65" spans="2:7" ht="30.75" customHeight="1">
      <c r="B65" s="73" t="s">
        <v>124</v>
      </c>
      <c r="C65" s="51"/>
      <c r="D65" s="56">
        <v>0</v>
      </c>
      <c r="E65" s="56">
        <v>0</v>
      </c>
      <c r="F65" s="189">
        <v>0</v>
      </c>
      <c r="G65" s="10"/>
    </row>
    <row r="66" spans="2:7" ht="15.6">
      <c r="B66" s="52" t="s">
        <v>52</v>
      </c>
      <c r="C66" s="43"/>
      <c r="D66" s="68">
        <f>SUM(D65)</f>
        <v>0</v>
      </c>
      <c r="E66" s="68">
        <f>SUM(E65)</f>
        <v>0</v>
      </c>
      <c r="F66" s="193">
        <f>SUM(F65)</f>
        <v>0</v>
      </c>
      <c r="G66" s="10"/>
    </row>
    <row r="67" spans="2:7" ht="17.25" customHeight="1">
      <c r="B67" s="341"/>
      <c r="C67" s="341"/>
      <c r="D67" s="341"/>
      <c r="E67" s="341"/>
      <c r="F67" s="341"/>
      <c r="G67" s="341"/>
    </row>
    <row r="68" spans="2:7" ht="33" customHeight="1">
      <c r="B68" s="48" t="s">
        <v>350</v>
      </c>
      <c r="C68" s="53"/>
      <c r="D68" s="188">
        <f>SUM(D44+D51+D57+D60+D62+D64+D66)</f>
        <v>29950.04</v>
      </c>
      <c r="E68" s="188">
        <f>SUM(E44+E51+E57+E60+E62+E64+E66)</f>
        <v>4120.0300000000007</v>
      </c>
      <c r="F68" s="284">
        <f>SUM(F44+F51+F57+F60+F62+F64+F66)</f>
        <v>284</v>
      </c>
      <c r="G68" s="10"/>
    </row>
    <row r="69" spans="2:7">
      <c r="B69" s="28"/>
      <c r="C69" s="29"/>
      <c r="D69" s="29"/>
      <c r="E69" s="29"/>
      <c r="F69" s="29"/>
    </row>
    <row r="70" spans="2:7">
      <c r="B70" s="28"/>
      <c r="C70" s="29"/>
      <c r="D70" s="29"/>
      <c r="E70" s="29"/>
      <c r="F70" s="29"/>
    </row>
    <row r="71" spans="2:7">
      <c r="B71" s="238" t="s">
        <v>492</v>
      </c>
      <c r="C71" s="237"/>
      <c r="D71" s="237"/>
      <c r="E71" s="237"/>
      <c r="F71" s="237"/>
    </row>
    <row r="72" spans="2:7">
      <c r="B72" s="238"/>
      <c r="C72" s="237"/>
      <c r="D72" s="237"/>
      <c r="E72" s="237"/>
      <c r="F72" s="237"/>
    </row>
    <row r="73" spans="2:7">
      <c r="B73" s="239" t="s">
        <v>127</v>
      </c>
      <c r="C73" s="237"/>
      <c r="D73" s="237"/>
      <c r="E73" s="237"/>
      <c r="F73" s="237"/>
    </row>
    <row r="74" spans="2:7">
      <c r="B74" s="239" t="s">
        <v>493</v>
      </c>
      <c r="C74" s="237"/>
      <c r="D74" s="237"/>
      <c r="E74" s="237"/>
      <c r="F74" s="237"/>
    </row>
    <row r="75" spans="2:7">
      <c r="B75" s="239" t="s">
        <v>494</v>
      </c>
      <c r="C75" s="237"/>
      <c r="D75" s="237"/>
      <c r="E75" s="237"/>
      <c r="F75" s="237"/>
    </row>
    <row r="77" spans="2:7">
      <c r="B77" s="237" t="s">
        <v>73</v>
      </c>
      <c r="C77" s="237"/>
      <c r="D77" s="237"/>
      <c r="E77" s="237"/>
      <c r="F77" s="237"/>
    </row>
    <row r="79" spans="2:7" ht="15.75" customHeight="1">
      <c r="B79" s="237" t="s">
        <v>129</v>
      </c>
      <c r="C79" s="237"/>
      <c r="D79" s="237"/>
      <c r="E79" s="237"/>
      <c r="F79" s="237"/>
    </row>
  </sheetData>
  <mergeCells count="9">
    <mergeCell ref="B54:B56"/>
    <mergeCell ref="B58:B59"/>
    <mergeCell ref="B67:G67"/>
    <mergeCell ref="B4:G4"/>
    <mergeCell ref="B5:G5"/>
    <mergeCell ref="B6:G6"/>
    <mergeCell ref="B8:B43"/>
    <mergeCell ref="B45:B49"/>
    <mergeCell ref="B52:G52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1B25D-5AE6-4EC1-A6E7-6C0F2FD2B049}">
  <dimension ref="A1:J81"/>
  <sheetViews>
    <sheetView topLeftCell="A55" workbookViewId="0">
      <selection activeCell="K67" sqref="K67"/>
    </sheetView>
  </sheetViews>
  <sheetFormatPr defaultColWidth="9.109375" defaultRowHeight="14.4"/>
  <cols>
    <col min="1" max="1" width="3.44140625" customWidth="1"/>
    <col min="2" max="2" width="45.109375" customWidth="1"/>
    <col min="3" max="3" width="58.88671875" customWidth="1"/>
    <col min="4" max="4" width="16.6640625" customWidth="1"/>
    <col min="5" max="5" width="15.44140625" customWidth="1"/>
    <col min="6" max="6" width="15.33203125" customWidth="1"/>
    <col min="7" max="7" width="38.44140625" bestFit="1" customWidth="1"/>
    <col min="8" max="8" width="9.44140625" customWidth="1"/>
  </cols>
  <sheetData>
    <row r="1" spans="2:7" ht="30" customHeight="1">
      <c r="B1" s="1" t="s">
        <v>0</v>
      </c>
    </row>
    <row r="2" spans="2:7" ht="25.5" customHeight="1">
      <c r="B2" s="1" t="s">
        <v>1</v>
      </c>
      <c r="D2" s="2"/>
      <c r="E2" s="2"/>
    </row>
    <row r="3" spans="2:7" ht="12.75" customHeight="1">
      <c r="B3" s="1"/>
      <c r="D3" s="2"/>
      <c r="E3" s="2"/>
    </row>
    <row r="4" spans="2:7" ht="32.25" customHeight="1">
      <c r="B4" s="339" t="s">
        <v>132</v>
      </c>
      <c r="C4" s="339"/>
      <c r="D4" s="339"/>
      <c r="E4" s="339"/>
      <c r="F4" s="339"/>
      <c r="G4" s="339"/>
    </row>
    <row r="5" spans="2:7" ht="31.5" customHeight="1">
      <c r="B5" s="339" t="s">
        <v>133</v>
      </c>
      <c r="C5" s="339"/>
      <c r="D5" s="339"/>
      <c r="E5" s="339"/>
      <c r="F5" s="339"/>
      <c r="G5" s="339"/>
    </row>
    <row r="6" spans="2:7" ht="26.25" customHeight="1">
      <c r="B6" s="340" t="s">
        <v>4</v>
      </c>
      <c r="C6" s="340"/>
      <c r="D6" s="340"/>
      <c r="E6" s="340"/>
      <c r="F6" s="340"/>
      <c r="G6" s="340"/>
    </row>
    <row r="7" spans="2:7" ht="55.5" customHeight="1">
      <c r="B7" s="3" t="s">
        <v>5</v>
      </c>
      <c r="C7" s="4" t="s">
        <v>6</v>
      </c>
      <c r="D7" s="4" t="s">
        <v>7</v>
      </c>
      <c r="E7" s="4" t="s">
        <v>134</v>
      </c>
      <c r="F7" s="4" t="s">
        <v>9</v>
      </c>
      <c r="G7" s="5" t="s">
        <v>10</v>
      </c>
    </row>
    <row r="8" spans="2:7" ht="30" customHeight="1">
      <c r="B8" s="349" t="s">
        <v>135</v>
      </c>
      <c r="C8" s="74" t="s">
        <v>136</v>
      </c>
      <c r="D8" s="81">
        <f>43.2+24.1+11.5+22</f>
        <v>100.80000000000001</v>
      </c>
      <c r="E8" s="81">
        <v>1.8</v>
      </c>
      <c r="F8" s="39">
        <f>1+1+1</f>
        <v>3</v>
      </c>
      <c r="G8" s="17"/>
    </row>
    <row r="9" spans="2:7" ht="30" customHeight="1">
      <c r="B9" s="349"/>
      <c r="C9" s="74" t="s">
        <v>137</v>
      </c>
      <c r="D9" s="81">
        <f>43.2+71.3+47.5+11.5+51.1+11.9+17.3</f>
        <v>253.8</v>
      </c>
      <c r="E9" s="81">
        <v>3</v>
      </c>
      <c r="F9" s="39">
        <f>3+1+2+1</f>
        <v>7</v>
      </c>
      <c r="G9" s="17"/>
    </row>
    <row r="10" spans="2:7" ht="30" customHeight="1">
      <c r="B10" s="349"/>
      <c r="C10" s="74" t="s">
        <v>138</v>
      </c>
      <c r="D10" s="81">
        <v>48</v>
      </c>
      <c r="E10" s="81">
        <v>3</v>
      </c>
      <c r="F10" s="39">
        <v>1</v>
      </c>
      <c r="G10" s="17"/>
    </row>
    <row r="11" spans="2:7" ht="30" customHeight="1">
      <c r="B11" s="349"/>
      <c r="C11" s="74" t="s">
        <v>139</v>
      </c>
      <c r="D11" s="81">
        <f>74.4+76.8+19.2+23.25</f>
        <v>193.64999999999998</v>
      </c>
      <c r="E11" s="81">
        <v>3</v>
      </c>
      <c r="F11" s="39">
        <f>2+1+1</f>
        <v>4</v>
      </c>
      <c r="G11" s="17"/>
    </row>
    <row r="12" spans="2:7" ht="30" customHeight="1">
      <c r="B12" s="349"/>
      <c r="C12" s="74" t="s">
        <v>140</v>
      </c>
      <c r="D12" s="81">
        <f>69.6+19.2</f>
        <v>88.8</v>
      </c>
      <c r="E12" s="81">
        <v>3</v>
      </c>
      <c r="F12" s="39">
        <f>1+1</f>
        <v>2</v>
      </c>
      <c r="G12" s="17"/>
    </row>
    <row r="13" spans="2:7" ht="30" customHeight="1">
      <c r="B13" s="349"/>
      <c r="C13" s="74" t="s">
        <v>141</v>
      </c>
      <c r="D13" s="81">
        <v>0</v>
      </c>
      <c r="E13" s="81">
        <v>3</v>
      </c>
      <c r="F13" s="39">
        <v>1</v>
      </c>
      <c r="G13" s="17"/>
    </row>
    <row r="14" spans="2:7" ht="30" customHeight="1">
      <c r="B14" s="349"/>
      <c r="C14" s="74" t="s">
        <v>142</v>
      </c>
      <c r="D14" s="81">
        <f>111.6+111.6+352.8+39+19.2+62.1</f>
        <v>696.30000000000007</v>
      </c>
      <c r="E14" s="81">
        <v>3</v>
      </c>
      <c r="F14" s="39">
        <f>4+2+1</f>
        <v>7</v>
      </c>
      <c r="G14" s="17"/>
    </row>
    <row r="15" spans="2:7" ht="30" customHeight="1">
      <c r="B15" s="349"/>
      <c r="C15" s="74" t="s">
        <v>143</v>
      </c>
      <c r="D15" s="81">
        <f>129.6+64.8+117</f>
        <v>311.39999999999998</v>
      </c>
      <c r="E15" s="81">
        <v>3</v>
      </c>
      <c r="F15" s="39">
        <f>2+1+1+1+1</f>
        <v>6</v>
      </c>
      <c r="G15" s="17"/>
    </row>
    <row r="16" spans="2:7" ht="30" customHeight="1">
      <c r="B16" s="349"/>
      <c r="C16" s="74" t="s">
        <v>144</v>
      </c>
      <c r="D16" s="81">
        <f>74.4+60+18.6</f>
        <v>153</v>
      </c>
      <c r="E16" s="81">
        <v>3</v>
      </c>
      <c r="F16" s="39">
        <f>1+2+1</f>
        <v>4</v>
      </c>
      <c r="G16" s="17"/>
    </row>
    <row r="17" spans="2:7" ht="30" customHeight="1">
      <c r="B17" s="349"/>
      <c r="C17" s="74" t="s">
        <v>145</v>
      </c>
      <c r="D17" s="81">
        <f>550.8+191.7+178.2</f>
        <v>920.7</v>
      </c>
      <c r="E17" s="81">
        <v>3</v>
      </c>
      <c r="F17" s="39">
        <f>1+1+1</f>
        <v>3</v>
      </c>
      <c r="G17" s="17"/>
    </row>
    <row r="18" spans="2:7" ht="30" customHeight="1">
      <c r="B18" s="349"/>
      <c r="C18" s="74" t="s">
        <v>146</v>
      </c>
      <c r="D18" s="81">
        <f>46.08+11.2+12.2+11.9</f>
        <v>81.38000000000001</v>
      </c>
      <c r="E18" s="81">
        <v>1.8</v>
      </c>
      <c r="F18" s="39">
        <f>1+1+4</f>
        <v>6</v>
      </c>
      <c r="G18" s="17"/>
    </row>
    <row r="19" spans="2:7" ht="30" customHeight="1">
      <c r="B19" s="349"/>
      <c r="C19" s="74" t="s">
        <v>147</v>
      </c>
      <c r="D19" s="81">
        <f>18.9+18.9+12.2+22.5</f>
        <v>72.5</v>
      </c>
      <c r="E19" s="81">
        <v>3</v>
      </c>
      <c r="F19" s="39">
        <f>1+1</f>
        <v>2</v>
      </c>
      <c r="G19" s="17"/>
    </row>
    <row r="20" spans="2:7" ht="30" customHeight="1">
      <c r="B20" s="349"/>
      <c r="C20" s="74" t="s">
        <v>148</v>
      </c>
      <c r="D20" s="81">
        <f>127.8+15.8</f>
        <v>143.6</v>
      </c>
      <c r="E20" s="81">
        <v>3</v>
      </c>
      <c r="F20" s="39">
        <f>2+1+1</f>
        <v>4</v>
      </c>
      <c r="G20" s="17"/>
    </row>
    <row r="21" spans="2:7" ht="30" customHeight="1">
      <c r="B21" s="349"/>
      <c r="C21" s="74" t="s">
        <v>149</v>
      </c>
      <c r="D21" s="81">
        <f>142.6+90.7</f>
        <v>233.3</v>
      </c>
      <c r="E21" s="81">
        <v>1.8</v>
      </c>
      <c r="F21" s="39">
        <v>3</v>
      </c>
      <c r="G21" s="17"/>
    </row>
    <row r="22" spans="2:7" ht="30" customHeight="1">
      <c r="B22" s="349"/>
      <c r="C22" s="74" t="s">
        <v>150</v>
      </c>
      <c r="D22" s="81">
        <f>19.2+156+39.6+74.4</f>
        <v>289.2</v>
      </c>
      <c r="E22" s="81">
        <v>1.8</v>
      </c>
      <c r="F22" s="39">
        <f>1+1+1</f>
        <v>3</v>
      </c>
      <c r="G22" s="17"/>
    </row>
    <row r="23" spans="2:7" ht="30" customHeight="1">
      <c r="B23" s="349"/>
      <c r="C23" s="74" t="s">
        <v>151</v>
      </c>
      <c r="D23" s="81">
        <f>44.3</f>
        <v>44.3</v>
      </c>
      <c r="E23" s="81">
        <f>1.8</f>
        <v>1.8</v>
      </c>
      <c r="F23" s="39">
        <f>1+1</f>
        <v>2</v>
      </c>
      <c r="G23" s="17"/>
    </row>
    <row r="24" spans="2:7" ht="30" customHeight="1">
      <c r="B24" s="349"/>
      <c r="C24" s="74" t="s">
        <v>152</v>
      </c>
      <c r="D24" s="81">
        <f>39+132.3</f>
        <v>171.3</v>
      </c>
      <c r="E24" s="81">
        <v>3</v>
      </c>
      <c r="F24" s="39">
        <f>2+2+1</f>
        <v>5</v>
      </c>
      <c r="G24" s="17"/>
    </row>
    <row r="25" spans="2:7" ht="30" customHeight="1">
      <c r="B25" s="349"/>
      <c r="C25" s="74" t="s">
        <v>153</v>
      </c>
      <c r="D25" s="81">
        <f>295.6+36.75+57.6</f>
        <v>389.95000000000005</v>
      </c>
      <c r="E25" s="81">
        <v>3</v>
      </c>
      <c r="F25" s="39">
        <f>2+1+1</f>
        <v>4</v>
      </c>
      <c r="G25" s="17"/>
    </row>
    <row r="26" spans="2:7" ht="30" customHeight="1">
      <c r="B26" s="349"/>
      <c r="C26" s="74" t="s">
        <v>154</v>
      </c>
      <c r="D26" s="81">
        <v>47.5</v>
      </c>
      <c r="E26" s="81">
        <v>1.8</v>
      </c>
      <c r="F26" s="39">
        <v>1</v>
      </c>
      <c r="G26" s="17"/>
    </row>
    <row r="27" spans="2:7" ht="30" customHeight="1">
      <c r="B27" s="349"/>
      <c r="C27" s="74" t="s">
        <v>155</v>
      </c>
      <c r="D27" s="81">
        <f>52.6</f>
        <v>52.6</v>
      </c>
      <c r="E27" s="81">
        <v>1.8</v>
      </c>
      <c r="F27" s="39">
        <f>1+1+1</f>
        <v>3</v>
      </c>
      <c r="G27" s="17"/>
    </row>
    <row r="28" spans="2:7" ht="30" customHeight="1">
      <c r="B28" s="349"/>
      <c r="C28" s="74" t="s">
        <v>156</v>
      </c>
      <c r="D28" s="81">
        <v>0</v>
      </c>
      <c r="E28" s="81">
        <v>1.8</v>
      </c>
      <c r="F28" s="39">
        <v>1</v>
      </c>
      <c r="G28" s="75"/>
    </row>
    <row r="29" spans="2:7" ht="30" customHeight="1">
      <c r="B29" s="349"/>
      <c r="C29" s="74" t="s">
        <v>157</v>
      </c>
      <c r="D29" s="81">
        <v>47.5</v>
      </c>
      <c r="E29" s="81">
        <v>1.8</v>
      </c>
      <c r="F29" s="39">
        <v>1</v>
      </c>
      <c r="G29" s="75"/>
    </row>
    <row r="30" spans="2:7" ht="30" customHeight="1">
      <c r="B30" s="349"/>
      <c r="C30" s="74" t="s">
        <v>158</v>
      </c>
      <c r="D30" s="81">
        <f>158.4</f>
        <v>158.4</v>
      </c>
      <c r="E30" s="81">
        <v>3</v>
      </c>
      <c r="F30" s="39">
        <v>1</v>
      </c>
      <c r="G30" s="75"/>
    </row>
    <row r="31" spans="2:7" ht="30" customHeight="1">
      <c r="B31" s="349"/>
      <c r="C31" s="74" t="s">
        <v>159</v>
      </c>
      <c r="D31" s="81">
        <f>108+197.1+71+55.1+57.6</f>
        <v>488.80000000000007</v>
      </c>
      <c r="E31" s="81">
        <v>4.5</v>
      </c>
      <c r="F31" s="39">
        <f>3+1+2+1+1</f>
        <v>8</v>
      </c>
      <c r="G31" s="17"/>
    </row>
    <row r="32" spans="2:7" ht="30" customHeight="1">
      <c r="B32" s="349"/>
      <c r="C32" s="74" t="s">
        <v>160</v>
      </c>
      <c r="D32" s="81">
        <f>46.1+69+11.2+18.4+35.1</f>
        <v>179.79999999999998</v>
      </c>
      <c r="E32" s="81">
        <v>3</v>
      </c>
      <c r="F32" s="39">
        <f>2+1+1</f>
        <v>4</v>
      </c>
      <c r="G32" s="17"/>
    </row>
    <row r="33" spans="2:7" ht="30" customHeight="1">
      <c r="B33" s="349"/>
      <c r="C33" s="74" t="s">
        <v>161</v>
      </c>
      <c r="D33" s="81">
        <f>39.6+29.4</f>
        <v>69</v>
      </c>
      <c r="E33" s="81">
        <v>3</v>
      </c>
      <c r="F33" s="39">
        <f>1+1+1</f>
        <v>3</v>
      </c>
      <c r="G33" s="75"/>
    </row>
    <row r="34" spans="2:7" ht="30" customHeight="1">
      <c r="B34" s="349"/>
      <c r="C34" s="74" t="s">
        <v>162</v>
      </c>
      <c r="D34" s="81">
        <f>19.2+33.6</f>
        <v>52.8</v>
      </c>
      <c r="E34" s="81">
        <v>3</v>
      </c>
      <c r="F34" s="39">
        <f>4+1+1</f>
        <v>6</v>
      </c>
      <c r="G34" s="75"/>
    </row>
    <row r="35" spans="2:7" ht="30" customHeight="1">
      <c r="B35" s="349"/>
      <c r="C35" s="74" t="s">
        <v>163</v>
      </c>
      <c r="D35" s="81">
        <f>74.4+60+162+99.8+100+194.4+267.3</f>
        <v>957.90000000000009</v>
      </c>
      <c r="E35" s="81">
        <v>4.5</v>
      </c>
      <c r="F35" s="39">
        <v>8</v>
      </c>
      <c r="G35" s="6"/>
    </row>
    <row r="36" spans="2:7" ht="30" customHeight="1">
      <c r="B36" s="349"/>
      <c r="C36" s="74" t="s">
        <v>164</v>
      </c>
      <c r="D36" s="81">
        <f>120</f>
        <v>120</v>
      </c>
      <c r="E36" s="81">
        <v>3</v>
      </c>
      <c r="F36" s="39">
        <f>1+1</f>
        <v>2</v>
      </c>
      <c r="G36" s="6"/>
    </row>
    <row r="37" spans="2:7" ht="30" customHeight="1">
      <c r="B37" s="349"/>
      <c r="C37" s="74" t="s">
        <v>165</v>
      </c>
      <c r="D37" s="81">
        <f>129.6+90+131.4+18</f>
        <v>369</v>
      </c>
      <c r="E37" s="81">
        <v>3</v>
      </c>
      <c r="F37" s="39">
        <v>7</v>
      </c>
      <c r="G37" s="17"/>
    </row>
    <row r="38" spans="2:7" ht="26.25" customHeight="1">
      <c r="B38" s="9" t="s">
        <v>52</v>
      </c>
      <c r="C38" s="6"/>
      <c r="D38" s="82">
        <f>SUM(D8:D37)</f>
        <v>6735.2800000000007</v>
      </c>
      <c r="E38" s="82">
        <f>SUM(E8:E37)</f>
        <v>82.199999999999989</v>
      </c>
      <c r="F38" s="85">
        <f>SUM(F8:F37)</f>
        <v>112</v>
      </c>
      <c r="G38" s="8"/>
    </row>
    <row r="39" spans="2:7" ht="30" customHeight="1">
      <c r="B39" s="393" t="s">
        <v>166</v>
      </c>
      <c r="C39" s="74" t="s">
        <v>167</v>
      </c>
      <c r="D39" s="81">
        <v>3071</v>
      </c>
      <c r="E39" s="81">
        <v>37</v>
      </c>
      <c r="F39" s="86">
        <v>3</v>
      </c>
      <c r="G39" s="8"/>
    </row>
    <row r="40" spans="2:7" ht="30" customHeight="1">
      <c r="B40" s="393"/>
      <c r="C40" s="74" t="s">
        <v>168</v>
      </c>
      <c r="D40" s="81">
        <v>864</v>
      </c>
      <c r="E40" s="81">
        <v>37</v>
      </c>
      <c r="F40" s="86">
        <v>3</v>
      </c>
      <c r="G40" s="8"/>
    </row>
    <row r="41" spans="2:7" ht="30" customHeight="1">
      <c r="B41" s="393"/>
      <c r="C41" s="74" t="s">
        <v>169</v>
      </c>
      <c r="D41" s="81">
        <v>0</v>
      </c>
      <c r="E41" s="81">
        <v>0</v>
      </c>
      <c r="F41" s="86">
        <v>4</v>
      </c>
      <c r="G41" s="252" t="s">
        <v>479</v>
      </c>
    </row>
    <row r="42" spans="2:7" ht="30" customHeight="1">
      <c r="B42" s="393"/>
      <c r="C42" s="74" t="s">
        <v>169</v>
      </c>
      <c r="D42" s="81">
        <v>6412</v>
      </c>
      <c r="E42" s="81">
        <v>37</v>
      </c>
      <c r="F42" s="86">
        <v>16</v>
      </c>
      <c r="G42" s="8"/>
    </row>
    <row r="43" spans="2:7" ht="30" customHeight="1">
      <c r="B43" s="393"/>
      <c r="C43" s="74" t="s">
        <v>170</v>
      </c>
      <c r="D43" s="81">
        <v>5312</v>
      </c>
      <c r="E43" s="81">
        <v>37</v>
      </c>
      <c r="F43" s="86">
        <v>7</v>
      </c>
      <c r="G43" s="8"/>
    </row>
    <row r="44" spans="2:7" ht="30" customHeight="1">
      <c r="B44" s="393"/>
      <c r="C44" s="74" t="s">
        <v>171</v>
      </c>
      <c r="D44" s="81">
        <v>0</v>
      </c>
      <c r="E44" s="81">
        <v>0</v>
      </c>
      <c r="F44" s="86">
        <v>4</v>
      </c>
      <c r="G44" s="252" t="s">
        <v>479</v>
      </c>
    </row>
    <row r="45" spans="2:7" ht="30" customHeight="1">
      <c r="B45" s="393"/>
      <c r="C45" s="74" t="s">
        <v>171</v>
      </c>
      <c r="D45" s="81">
        <v>496</v>
      </c>
      <c r="E45" s="81">
        <v>124</v>
      </c>
      <c r="F45" s="86">
        <v>3</v>
      </c>
      <c r="G45" s="8"/>
    </row>
    <row r="46" spans="2:7" ht="30" customHeight="1">
      <c r="B46" s="393"/>
      <c r="C46" s="74" t="s">
        <v>172</v>
      </c>
      <c r="D46" s="81">
        <v>0</v>
      </c>
      <c r="E46" s="81">
        <v>0</v>
      </c>
      <c r="F46" s="86">
        <v>2</v>
      </c>
      <c r="G46" s="252" t="s">
        <v>479</v>
      </c>
    </row>
    <row r="47" spans="2:7" ht="30" customHeight="1">
      <c r="B47" s="393"/>
      <c r="C47" s="74" t="s">
        <v>172</v>
      </c>
      <c r="D47" s="81">
        <v>1577</v>
      </c>
      <c r="E47" s="81">
        <v>83</v>
      </c>
      <c r="F47" s="86">
        <v>1</v>
      </c>
      <c r="G47" s="8"/>
    </row>
    <row r="48" spans="2:7" ht="30" customHeight="1">
      <c r="B48" s="393"/>
      <c r="C48" s="74" t="s">
        <v>173</v>
      </c>
      <c r="D48" s="81">
        <v>445.5</v>
      </c>
      <c r="E48" s="81">
        <v>18.5</v>
      </c>
      <c r="F48" s="86">
        <v>2</v>
      </c>
      <c r="G48" s="8"/>
    </row>
    <row r="49" spans="1:10" ht="30" customHeight="1">
      <c r="B49" s="393"/>
      <c r="C49" s="74" t="s">
        <v>174</v>
      </c>
      <c r="D49" s="81">
        <v>900</v>
      </c>
      <c r="E49" s="81">
        <v>25</v>
      </c>
      <c r="F49" s="86">
        <v>2</v>
      </c>
      <c r="G49" s="8"/>
    </row>
    <row r="50" spans="1:10" ht="30" customHeight="1">
      <c r="B50" s="393"/>
      <c r="C50" s="74" t="s">
        <v>174</v>
      </c>
      <c r="D50" s="81">
        <v>0</v>
      </c>
      <c r="E50" s="81">
        <v>0</v>
      </c>
      <c r="F50" s="86">
        <v>1</v>
      </c>
      <c r="G50" s="252" t="s">
        <v>479</v>
      </c>
    </row>
    <row r="51" spans="1:10" ht="30" customHeight="1">
      <c r="B51" s="393"/>
      <c r="C51" s="74" t="s">
        <v>175</v>
      </c>
      <c r="D51" s="81">
        <v>0</v>
      </c>
      <c r="E51" s="81">
        <v>0</v>
      </c>
      <c r="F51" s="86">
        <v>14</v>
      </c>
      <c r="G51" s="252" t="s">
        <v>479</v>
      </c>
    </row>
    <row r="52" spans="1:10" ht="30" customHeight="1">
      <c r="B52" s="393"/>
      <c r="C52" s="74" t="s">
        <v>175</v>
      </c>
      <c r="D52" s="81">
        <v>3968</v>
      </c>
      <c r="E52" s="81">
        <v>124</v>
      </c>
      <c r="F52" s="86">
        <v>18</v>
      </c>
      <c r="G52" s="8"/>
      <c r="H52" s="11"/>
      <c r="I52" s="11"/>
      <c r="J52" s="11"/>
    </row>
    <row r="53" spans="1:10" ht="26.25" customHeight="1">
      <c r="B53" s="9" t="s">
        <v>52</v>
      </c>
      <c r="C53" s="6"/>
      <c r="D53" s="82">
        <f>SUM(D39:D52)</f>
        <v>23045.5</v>
      </c>
      <c r="E53" s="82">
        <f>SUM(E39:E52)</f>
        <v>522.5</v>
      </c>
      <c r="F53" s="85">
        <f>SUM(F39:F52)</f>
        <v>80</v>
      </c>
      <c r="G53" s="8"/>
    </row>
    <row r="54" spans="1:10" ht="31.5" customHeight="1">
      <c r="B54" s="346" t="s">
        <v>56</v>
      </c>
      <c r="C54" s="346"/>
      <c r="D54" s="346"/>
      <c r="E54" s="346"/>
      <c r="F54" s="346"/>
      <c r="G54" s="346"/>
    </row>
    <row r="55" spans="1:10" ht="53.25" customHeight="1">
      <c r="A55" s="13"/>
      <c r="B55" s="4" t="s">
        <v>5</v>
      </c>
      <c r="C55" s="4" t="s">
        <v>57</v>
      </c>
      <c r="D55" s="4" t="s">
        <v>7</v>
      </c>
      <c r="E55" s="4" t="s">
        <v>58</v>
      </c>
      <c r="F55" s="4" t="s">
        <v>9</v>
      </c>
      <c r="G55" s="5" t="s">
        <v>59</v>
      </c>
    </row>
    <row r="56" spans="1:10" ht="53.25" customHeight="1">
      <c r="A56" s="13"/>
      <c r="B56" s="73" t="s">
        <v>60</v>
      </c>
      <c r="C56" s="15"/>
      <c r="D56" s="81">
        <v>0</v>
      </c>
      <c r="E56" s="84">
        <v>0</v>
      </c>
      <c r="F56" s="16">
        <v>0</v>
      </c>
      <c r="G56" s="10"/>
    </row>
    <row r="57" spans="1:10" ht="26.25" customHeight="1">
      <c r="B57" s="9" t="s">
        <v>52</v>
      </c>
      <c r="C57" s="6"/>
      <c r="D57" s="82">
        <f>SUM(D56)</f>
        <v>0</v>
      </c>
      <c r="E57" s="83">
        <f>SUM(E56)</f>
        <v>0</v>
      </c>
      <c r="F57" s="85">
        <f>SUM(F56)</f>
        <v>0</v>
      </c>
      <c r="G57" s="8"/>
    </row>
    <row r="58" spans="1:10" ht="30" customHeight="1">
      <c r="A58" s="13"/>
      <c r="B58" s="390" t="s">
        <v>61</v>
      </c>
      <c r="C58" s="74" t="s">
        <v>176</v>
      </c>
      <c r="D58" s="81">
        <v>472</v>
      </c>
      <c r="E58" s="84">
        <v>472</v>
      </c>
      <c r="F58" s="16">
        <v>8</v>
      </c>
      <c r="G58" s="76"/>
      <c r="H58" s="77"/>
      <c r="I58" s="23"/>
    </row>
    <row r="59" spans="1:10">
      <c r="B59" s="390"/>
      <c r="C59" s="74" t="s">
        <v>177</v>
      </c>
      <c r="D59" s="81">
        <v>1792.24</v>
      </c>
      <c r="E59" s="84">
        <v>1608</v>
      </c>
      <c r="F59" s="16">
        <v>24</v>
      </c>
      <c r="G59" s="76" t="s">
        <v>575</v>
      </c>
    </row>
    <row r="60" spans="1:10" ht="30" customHeight="1">
      <c r="A60" s="13"/>
      <c r="B60" s="390"/>
      <c r="C60" s="74" t="s">
        <v>178</v>
      </c>
      <c r="D60" s="81">
        <v>1445</v>
      </c>
      <c r="E60" s="84">
        <v>1700</v>
      </c>
      <c r="F60" s="16">
        <v>20</v>
      </c>
      <c r="G60" s="76"/>
      <c r="H60" s="77"/>
    </row>
    <row r="61" spans="1:10" ht="26.25" customHeight="1">
      <c r="B61" s="9" t="s">
        <v>52</v>
      </c>
      <c r="C61" s="6"/>
      <c r="D61" s="82">
        <f>SUM(D58:D60)</f>
        <v>3709.24</v>
      </c>
      <c r="E61" s="83">
        <f>SUM(E58:E60)</f>
        <v>3780</v>
      </c>
      <c r="F61" s="85">
        <f>SUM(F58:F60)</f>
        <v>52</v>
      </c>
      <c r="G61" s="8"/>
    </row>
    <row r="62" spans="1:10" ht="30" customHeight="1">
      <c r="A62" s="13"/>
      <c r="B62" s="73" t="s">
        <v>63</v>
      </c>
      <c r="C62" s="74" t="s">
        <v>179</v>
      </c>
      <c r="D62" s="90">
        <v>30846.86</v>
      </c>
      <c r="E62" s="91">
        <v>15293.44</v>
      </c>
      <c r="F62" s="16">
        <v>1</v>
      </c>
      <c r="G62" s="22" t="s">
        <v>188</v>
      </c>
      <c r="I62" s="23"/>
    </row>
    <row r="63" spans="1:10" ht="26.25" customHeight="1">
      <c r="B63" s="9" t="s">
        <v>52</v>
      </c>
      <c r="C63" s="6"/>
      <c r="D63" s="92">
        <f>SUM(D62)</f>
        <v>30846.86</v>
      </c>
      <c r="E63" s="93">
        <f>SUM(E62)</f>
        <v>15293.44</v>
      </c>
      <c r="F63" s="85">
        <f>SUM(F62)</f>
        <v>1</v>
      </c>
      <c r="G63" s="8"/>
      <c r="I63" s="23"/>
    </row>
    <row r="64" spans="1:10" ht="30" customHeight="1">
      <c r="B64" s="391"/>
      <c r="C64" s="74" t="s">
        <v>180</v>
      </c>
      <c r="D64" s="81">
        <v>4500</v>
      </c>
      <c r="E64" s="81">
        <v>6000</v>
      </c>
      <c r="F64" s="78">
        <v>1</v>
      </c>
      <c r="G64" s="10"/>
    </row>
    <row r="65" spans="2:7" ht="30" customHeight="1">
      <c r="B65" s="391"/>
      <c r="C65" s="74" t="s">
        <v>181</v>
      </c>
      <c r="D65" s="81">
        <v>0</v>
      </c>
      <c r="E65" s="81">
        <v>0</v>
      </c>
      <c r="F65" s="78">
        <v>1</v>
      </c>
      <c r="G65" s="10"/>
    </row>
    <row r="66" spans="2:7" ht="26.25" customHeight="1">
      <c r="B66" s="9" t="s">
        <v>52</v>
      </c>
      <c r="C66" s="6"/>
      <c r="D66" s="82">
        <f>SUM(D64:D65)</f>
        <v>4500</v>
      </c>
      <c r="E66" s="83">
        <f>SUM(E64:E65)</f>
        <v>6000</v>
      </c>
      <c r="F66" s="85">
        <f>SUM(F64:F65)</f>
        <v>2</v>
      </c>
      <c r="G66" s="8"/>
    </row>
    <row r="67" spans="2:7" ht="30.75" customHeight="1">
      <c r="B67" s="73" t="s">
        <v>124</v>
      </c>
      <c r="C67" s="79"/>
      <c r="D67" s="56">
        <v>0</v>
      </c>
      <c r="E67" s="56">
        <v>0</v>
      </c>
      <c r="F67" s="16">
        <v>0</v>
      </c>
      <c r="G67" s="10"/>
    </row>
    <row r="68" spans="2:7" ht="26.25" customHeight="1">
      <c r="B68" s="9" t="s">
        <v>52</v>
      </c>
      <c r="C68" s="6"/>
      <c r="D68" s="82">
        <f>SUM(D67)</f>
        <v>0</v>
      </c>
      <c r="E68" s="83">
        <f>SUM(E67)</f>
        <v>0</v>
      </c>
      <c r="F68" s="85">
        <f>SUM(F67)</f>
        <v>0</v>
      </c>
      <c r="G68" s="8"/>
    </row>
    <row r="69" spans="2:7" ht="17.25" customHeight="1">
      <c r="B69" s="392"/>
      <c r="C69" s="392"/>
      <c r="D69" s="392"/>
      <c r="E69" s="392"/>
      <c r="F69" s="392"/>
      <c r="G69" s="392"/>
    </row>
    <row r="70" spans="2:7" ht="33" customHeight="1">
      <c r="B70" s="18" t="s">
        <v>182</v>
      </c>
      <c r="C70" s="26"/>
      <c r="D70" s="117">
        <f>SUM(D57+D38+D53+D61+D66+D68+D63)</f>
        <v>68836.88</v>
      </c>
      <c r="E70" s="82">
        <f>SUM(E57+E38+E53+E61+E66+E68+E63)</f>
        <v>25678.14</v>
      </c>
      <c r="F70" s="80">
        <f>SUM(F38+F53+F57+F61+F63+F66+F68)</f>
        <v>247</v>
      </c>
      <c r="G70" s="10"/>
    </row>
    <row r="71" spans="2:7">
      <c r="B71" s="28"/>
      <c r="C71" s="29"/>
      <c r="D71" s="29"/>
      <c r="E71" s="29"/>
      <c r="F71" s="29"/>
    </row>
    <row r="72" spans="2:7">
      <c r="B72" s="28"/>
      <c r="C72" s="29"/>
      <c r="D72" s="29"/>
      <c r="E72" s="29"/>
      <c r="F72" s="29"/>
    </row>
    <row r="73" spans="2:7">
      <c r="B73" s="54" t="s">
        <v>495</v>
      </c>
    </row>
    <row r="74" spans="2:7">
      <c r="B74" s="54"/>
    </row>
    <row r="75" spans="2:7">
      <c r="B75" s="31" t="s">
        <v>127</v>
      </c>
    </row>
    <row r="76" spans="2:7">
      <c r="B76" s="31" t="s">
        <v>183</v>
      </c>
    </row>
    <row r="77" spans="2:7">
      <c r="B77" s="31" t="s">
        <v>184</v>
      </c>
    </row>
    <row r="78" spans="2:7">
      <c r="B78" s="32"/>
    </row>
    <row r="79" spans="2:7">
      <c r="B79" s="67" t="s">
        <v>129</v>
      </c>
    </row>
    <row r="81" customFormat="1" ht="15.75" customHeight="1"/>
  </sheetData>
  <mergeCells count="9">
    <mergeCell ref="B58:B60"/>
    <mergeCell ref="B64:B65"/>
    <mergeCell ref="B69:G69"/>
    <mergeCell ref="B4:G4"/>
    <mergeCell ref="B5:G5"/>
    <mergeCell ref="B6:G6"/>
    <mergeCell ref="B8:B37"/>
    <mergeCell ref="B39:B52"/>
    <mergeCell ref="B54:G5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10</vt:i4>
      </vt:variant>
    </vt:vector>
  </HeadingPairs>
  <TitlesOfParts>
    <vt:vector size="10" baseType="lpstr">
      <vt:lpstr>M1</vt:lpstr>
      <vt:lpstr>M2</vt:lpstr>
      <vt:lpstr>M3</vt:lpstr>
      <vt:lpstr>M4</vt:lpstr>
      <vt:lpstr>M5</vt:lpstr>
      <vt:lpstr>M6</vt:lpstr>
      <vt:lpstr>M7</vt:lpstr>
      <vt:lpstr>M8</vt:lpstr>
      <vt:lpstr>M9</vt:lpstr>
      <vt:lpstr>TOTALE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Patrizia Di Terlizzi</dc:creator>
  <cp:lastModifiedBy>Ilaria Cassese</cp:lastModifiedBy>
  <dcterms:created xsi:type="dcterms:W3CDTF">2024-01-02T10:30:50Z</dcterms:created>
  <dcterms:modified xsi:type="dcterms:W3CDTF">2024-01-11T14:11:27Z</dcterms:modified>
</cp:coreProperties>
</file>